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harts/chart1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N:\District\BOARD\STIF STAC\2024 11 12\"/>
    </mc:Choice>
  </mc:AlternateContent>
  <xr:revisionPtr revIDLastSave="0" documentId="8_{AD2A38EB-B7F5-474A-8F1C-5232CD12861E}" xr6:coauthVersionLast="47" xr6:coauthVersionMax="47" xr10:uidLastSave="{00000000-0000-0000-0000-000000000000}"/>
  <bookViews>
    <workbookView xWindow="-120" yWindow="-120" windowWidth="29040" windowHeight="15840" tabRatio="880" activeTab="2" xr2:uid="{00000000-000D-0000-FFFF-FFFF00000000}"/>
  </bookViews>
  <sheets>
    <sheet name="Ridership" sheetId="20" r:id="rId1"/>
    <sheet name="September" sheetId="26" r:id="rId2"/>
    <sheet name="Red-Green" sheetId="38" r:id="rId3"/>
    <sheet name="Expansion" sheetId="41" r:id="rId4"/>
    <sheet name="Expansion %" sheetId="42" r:id="rId5"/>
    <sheet name="Sutherlin" sheetId="39" r:id="rId6"/>
    <sheet name="Winston" sheetId="40" r:id="rId7"/>
    <sheet name="Yearly Comparison " sheetId="37" r:id="rId8"/>
    <sheet name="Umpqua Rides" sheetId="22" r:id="rId9"/>
    <sheet name="UR-September" sheetId="34" r:id="rId10"/>
    <sheet name="Sunshine Park" sheetId="36" r:id="rId11"/>
    <sheet name="Medical Transportation" sheetId="43" r:id="rId12"/>
    <sheet name="Notes" sheetId="44" state="hidden" r:id="rId13"/>
  </sheets>
  <externalReferences>
    <externalReference r:id="rId1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2" i="26" l="1"/>
  <c r="N41" i="20"/>
  <c r="J39" i="20"/>
  <c r="I39" i="20"/>
  <c r="H39" i="20"/>
  <c r="G39" i="20"/>
  <c r="F39" i="20"/>
  <c r="E39" i="20"/>
  <c r="D39" i="20"/>
  <c r="C39" i="20"/>
  <c r="B39" i="20"/>
  <c r="J38" i="20"/>
  <c r="I38" i="20"/>
  <c r="H38" i="20"/>
  <c r="G38" i="20"/>
  <c r="F38" i="20"/>
  <c r="E38" i="20"/>
  <c r="D38" i="20"/>
  <c r="C38" i="20"/>
  <c r="B38" i="20"/>
  <c r="C38" i="34"/>
  <c r="M26" i="20" l="1"/>
  <c r="N59" i="36" l="1"/>
  <c r="N52" i="36"/>
  <c r="N45" i="36"/>
  <c r="O79" i="43" l="1"/>
  <c r="O66" i="43"/>
  <c r="O53" i="43"/>
  <c r="B42" i="37" l="1"/>
  <c r="C45" i="37"/>
  <c r="D45" i="37" s="1"/>
  <c r="B45" i="37"/>
  <c r="C79" i="37"/>
  <c r="D79" i="37"/>
  <c r="E79" i="37"/>
  <c r="F79" i="37"/>
  <c r="G79" i="37"/>
  <c r="H79" i="37"/>
  <c r="I79" i="37"/>
  <c r="J79" i="37"/>
  <c r="K79" i="37"/>
  <c r="L79" i="37"/>
  <c r="M79" i="37"/>
  <c r="B79" i="37"/>
  <c r="C75" i="37"/>
  <c r="D75" i="37"/>
  <c r="E75" i="37"/>
  <c r="F75" i="37"/>
  <c r="G75" i="37"/>
  <c r="H75" i="37"/>
  <c r="I75" i="37"/>
  <c r="J75" i="37"/>
  <c r="K75" i="37"/>
  <c r="L75" i="37"/>
  <c r="M75" i="37"/>
  <c r="B75" i="37"/>
  <c r="B35" i="40"/>
  <c r="B39" i="40"/>
  <c r="C38" i="40"/>
  <c r="C39" i="40" s="1"/>
  <c r="B38" i="40"/>
  <c r="B35" i="39"/>
  <c r="C38" i="39"/>
  <c r="D38" i="39" s="1"/>
  <c r="E38" i="39" s="1"/>
  <c r="F38" i="39" s="1"/>
  <c r="G38" i="39" s="1"/>
  <c r="H38" i="39" s="1"/>
  <c r="I38" i="39" s="1"/>
  <c r="J38" i="39" s="1"/>
  <c r="K38" i="39" s="1"/>
  <c r="L38" i="39" s="1"/>
  <c r="M38" i="39" s="1"/>
  <c r="N38" i="39" s="1"/>
  <c r="B38" i="39"/>
  <c r="B35" i="42"/>
  <c r="B38" i="42"/>
  <c r="C38" i="42" s="1"/>
  <c r="B37" i="42"/>
  <c r="B25" i="42"/>
  <c r="L26" i="42"/>
  <c r="M26" i="42"/>
  <c r="B35" i="41"/>
  <c r="B39" i="41"/>
  <c r="D38" i="41"/>
  <c r="D39" i="41" s="1"/>
  <c r="E38" i="41"/>
  <c r="E39" i="41" s="1"/>
  <c r="E25" i="41" s="1"/>
  <c r="F38" i="41"/>
  <c r="F39" i="41" s="1"/>
  <c r="F25" i="41" s="1"/>
  <c r="B38" i="41"/>
  <c r="C38" i="41"/>
  <c r="C39" i="41" s="1"/>
  <c r="C38" i="38"/>
  <c r="D38" i="38" s="1"/>
  <c r="B36" i="38"/>
  <c r="B38" i="38"/>
  <c r="E45" i="37" l="1"/>
  <c r="C35" i="40"/>
  <c r="D38" i="40"/>
  <c r="C35" i="42"/>
  <c r="C37" i="42" s="1"/>
  <c r="C35" i="41"/>
  <c r="F35" i="41"/>
  <c r="F35" i="42"/>
  <c r="E35" i="42"/>
  <c r="E35" i="41"/>
  <c r="D35" i="42"/>
  <c r="D37" i="42" s="1"/>
  <c r="D35" i="41"/>
  <c r="G38" i="41"/>
  <c r="N75" i="37"/>
  <c r="D38" i="42"/>
  <c r="F37" i="42"/>
  <c r="E37" i="42"/>
  <c r="E38" i="38"/>
  <c r="F45" i="37" l="1"/>
  <c r="E38" i="40"/>
  <c r="D39" i="40"/>
  <c r="G39" i="41"/>
  <c r="H38" i="41"/>
  <c r="E38" i="42"/>
  <c r="F38" i="38"/>
  <c r="G45" i="37" l="1"/>
  <c r="D35" i="40"/>
  <c r="F38" i="40"/>
  <c r="E39" i="40"/>
  <c r="E25" i="40" s="1"/>
  <c r="I38" i="41"/>
  <c r="H39" i="41"/>
  <c r="H25" i="41" s="1"/>
  <c r="G25" i="41"/>
  <c r="F38" i="42"/>
  <c r="G38" i="38"/>
  <c r="H45" i="37" l="1"/>
  <c r="E35" i="40"/>
  <c r="G38" i="40"/>
  <c r="F39" i="40"/>
  <c r="F25" i="40" s="1"/>
  <c r="F35" i="40" s="1"/>
  <c r="G35" i="42"/>
  <c r="G35" i="41"/>
  <c r="H35" i="42"/>
  <c r="H37" i="42" s="1"/>
  <c r="H35" i="41"/>
  <c r="J38" i="41"/>
  <c r="I39" i="41"/>
  <c r="G38" i="42"/>
  <c r="H38" i="38"/>
  <c r="I45" i="37" l="1"/>
  <c r="H38" i="40"/>
  <c r="G39" i="40"/>
  <c r="G37" i="42"/>
  <c r="I25" i="41"/>
  <c r="K38" i="41"/>
  <c r="J39" i="41"/>
  <c r="J25" i="41" s="1"/>
  <c r="H38" i="42"/>
  <c r="I38" i="38"/>
  <c r="J45" i="37" l="1"/>
  <c r="G25" i="40"/>
  <c r="I38" i="40"/>
  <c r="H39" i="40"/>
  <c r="H25" i="40" s="1"/>
  <c r="H35" i="40" s="1"/>
  <c r="J35" i="41"/>
  <c r="J35" i="42"/>
  <c r="J37" i="42" s="1"/>
  <c r="L38" i="41"/>
  <c r="K39" i="41"/>
  <c r="I35" i="41"/>
  <c r="I35" i="42"/>
  <c r="I38" i="42"/>
  <c r="J38" i="38"/>
  <c r="K45" i="37" l="1"/>
  <c r="G35" i="40"/>
  <c r="J38" i="40"/>
  <c r="I39" i="40"/>
  <c r="I37" i="42"/>
  <c r="M38" i="41"/>
  <c r="L39" i="41"/>
  <c r="L25" i="41" s="1"/>
  <c r="K25" i="41"/>
  <c r="J38" i="42"/>
  <c r="K38" i="38"/>
  <c r="L45" i="37" l="1"/>
  <c r="K38" i="40"/>
  <c r="J39" i="40"/>
  <c r="J25" i="40" s="1"/>
  <c r="J35" i="40" s="1"/>
  <c r="I25" i="40"/>
  <c r="L35" i="42"/>
  <c r="L37" i="42" s="1"/>
  <c r="L35" i="41"/>
  <c r="K35" i="41"/>
  <c r="K35" i="42"/>
  <c r="N38" i="41"/>
  <c r="M39" i="41"/>
  <c r="K38" i="42"/>
  <c r="L38" i="38"/>
  <c r="M45" i="37" l="1"/>
  <c r="I35" i="40"/>
  <c r="L38" i="40"/>
  <c r="K39" i="40"/>
  <c r="K25" i="40" s="1"/>
  <c r="K35" i="40" s="1"/>
  <c r="K37" i="42"/>
  <c r="M25" i="41"/>
  <c r="N39" i="41"/>
  <c r="L38" i="42"/>
  <c r="M38" i="38"/>
  <c r="N45" i="37" l="1"/>
  <c r="M38" i="40"/>
  <c r="L39" i="40"/>
  <c r="L25" i="40" s="1"/>
  <c r="L35" i="40" s="1"/>
  <c r="M35" i="42"/>
  <c r="M35" i="41"/>
  <c r="N25" i="41"/>
  <c r="M38" i="42"/>
  <c r="N38" i="38"/>
  <c r="M39" i="40" l="1"/>
  <c r="N38" i="40"/>
  <c r="N25" i="42"/>
  <c r="N34" i="41"/>
  <c r="M37" i="42"/>
  <c r="N35" i="42"/>
  <c r="N38" i="42"/>
  <c r="M25" i="40" l="1"/>
  <c r="N39" i="40"/>
  <c r="O25" i="42"/>
  <c r="N34" i="42"/>
  <c r="B34" i="42" s="1"/>
  <c r="P25" i="42" l="1"/>
  <c r="O37" i="42"/>
  <c r="M35" i="40"/>
  <c r="N25" i="40"/>
  <c r="B36" i="42"/>
  <c r="C34" i="42"/>
  <c r="O25" i="40" l="1"/>
  <c r="N34" i="40"/>
  <c r="D34" i="42"/>
  <c r="C36" i="42"/>
  <c r="P25" i="40" l="1"/>
  <c r="O37" i="40"/>
  <c r="E34" i="42"/>
  <c r="D36" i="42"/>
  <c r="F34" i="42" l="1"/>
  <c r="E36" i="42"/>
  <c r="F36" i="42" l="1"/>
  <c r="G34" i="42"/>
  <c r="H34" i="42" l="1"/>
  <c r="G36" i="42"/>
  <c r="H36" i="42" l="1"/>
  <c r="I34" i="42"/>
  <c r="I36" i="42" l="1"/>
  <c r="J34" i="42"/>
  <c r="K34" i="42" l="1"/>
  <c r="J36" i="42"/>
  <c r="K36" i="42" l="1"/>
  <c r="L34" i="42"/>
  <c r="L36" i="42" l="1"/>
  <c r="M34" i="42"/>
  <c r="M36" i="42" s="1"/>
  <c r="N36" i="42" s="1"/>
  <c r="B37" i="38" l="1"/>
  <c r="B35" i="38"/>
  <c r="N27" i="22" l="1"/>
  <c r="C27" i="22"/>
  <c r="D27" i="22"/>
  <c r="E27" i="22"/>
  <c r="F27" i="22"/>
  <c r="G27" i="22"/>
  <c r="H27" i="22"/>
  <c r="I27" i="22"/>
  <c r="J27" i="22"/>
  <c r="K27" i="22"/>
  <c r="L27" i="22"/>
  <c r="M27" i="22"/>
  <c r="B27" i="22"/>
  <c r="P40" i="22"/>
  <c r="P39" i="22"/>
  <c r="B34" i="40" l="1"/>
  <c r="C34" i="40" s="1"/>
  <c r="D34" i="40" s="1"/>
  <c r="E34" i="40" s="1"/>
  <c r="B34" i="41"/>
  <c r="D36" i="40" l="1"/>
  <c r="B36" i="40"/>
  <c r="F34" i="40"/>
  <c r="E36" i="40"/>
  <c r="C36" i="40"/>
  <c r="N35" i="40"/>
  <c r="B36" i="41"/>
  <c r="C34" i="41"/>
  <c r="N35" i="41"/>
  <c r="F36" i="40" l="1"/>
  <c r="G34" i="40"/>
  <c r="C36" i="41"/>
  <c r="D34" i="41"/>
  <c r="H34" i="40" l="1"/>
  <c r="G36" i="40"/>
  <c r="E34" i="41"/>
  <c r="D36" i="41"/>
  <c r="H36" i="40" l="1"/>
  <c r="I34" i="40"/>
  <c r="E36" i="41"/>
  <c r="F34" i="41"/>
  <c r="J34" i="40" l="1"/>
  <c r="I36" i="40"/>
  <c r="G34" i="41"/>
  <c r="F36" i="41"/>
  <c r="K34" i="40" l="1"/>
  <c r="J36" i="40"/>
  <c r="H34" i="41"/>
  <c r="G36" i="41"/>
  <c r="L34" i="40" l="1"/>
  <c r="K36" i="40"/>
  <c r="I34" i="41"/>
  <c r="H36" i="41"/>
  <c r="M34" i="40" l="1"/>
  <c r="M36" i="40" s="1"/>
  <c r="L36" i="40"/>
  <c r="I36" i="41"/>
  <c r="J34" i="41"/>
  <c r="N36" i="40" l="1"/>
  <c r="J36" i="41"/>
  <c r="K34" i="41"/>
  <c r="K36" i="41" l="1"/>
  <c r="L34" i="41"/>
  <c r="L36" i="41" l="1"/>
  <c r="M34" i="41"/>
  <c r="M36" i="41" s="1"/>
  <c r="N36" i="41" s="1"/>
  <c r="N26" i="20" l="1"/>
  <c r="C61" i="20"/>
  <c r="D61" i="20"/>
  <c r="E61" i="20"/>
  <c r="F61" i="20"/>
  <c r="G61" i="20"/>
  <c r="H61" i="20"/>
  <c r="I61" i="20"/>
  <c r="J61" i="20"/>
  <c r="K61" i="20"/>
  <c r="L61" i="20"/>
  <c r="M61" i="20"/>
  <c r="N61" i="20"/>
  <c r="C60" i="20"/>
  <c r="D60" i="20"/>
  <c r="E60" i="20"/>
  <c r="F60" i="20"/>
  <c r="G60" i="20"/>
  <c r="H60" i="20"/>
  <c r="I60" i="20"/>
  <c r="J60" i="20"/>
  <c r="K60" i="20"/>
  <c r="L60" i="20"/>
  <c r="M60" i="20"/>
  <c r="N60" i="20"/>
  <c r="B60" i="20"/>
  <c r="B61" i="20"/>
  <c r="C59" i="20"/>
  <c r="D59" i="20"/>
  <c r="E59" i="20"/>
  <c r="F59" i="20"/>
  <c r="G59" i="20"/>
  <c r="H59" i="20"/>
  <c r="I59" i="20"/>
  <c r="J59" i="20"/>
  <c r="K59" i="20"/>
  <c r="L59" i="20"/>
  <c r="M59" i="20"/>
  <c r="N59" i="20"/>
  <c r="B59" i="20"/>
  <c r="C55" i="20"/>
  <c r="D55" i="20"/>
  <c r="E55" i="20"/>
  <c r="F55" i="20"/>
  <c r="G55" i="20"/>
  <c r="H55" i="20"/>
  <c r="I55" i="20"/>
  <c r="J55" i="20"/>
  <c r="K55" i="20"/>
  <c r="L55" i="20"/>
  <c r="M55" i="20"/>
  <c r="N55" i="20"/>
  <c r="C54" i="20"/>
  <c r="D54" i="20"/>
  <c r="E54" i="20"/>
  <c r="F54" i="20"/>
  <c r="G54" i="20"/>
  <c r="H54" i="20"/>
  <c r="I54" i="20"/>
  <c r="J54" i="20"/>
  <c r="K54" i="20"/>
  <c r="L54" i="20"/>
  <c r="M54" i="20"/>
  <c r="N54" i="20"/>
  <c r="B54" i="20"/>
  <c r="B55" i="20"/>
  <c r="C53" i="20"/>
  <c r="D53" i="20"/>
  <c r="E53" i="20"/>
  <c r="F53" i="20"/>
  <c r="G53" i="20"/>
  <c r="H53" i="20"/>
  <c r="I53" i="20"/>
  <c r="J53" i="20"/>
  <c r="K53" i="20"/>
  <c r="L53" i="20"/>
  <c r="M53" i="20"/>
  <c r="N53" i="20"/>
  <c r="B53" i="20"/>
  <c r="C49" i="20"/>
  <c r="D49" i="20"/>
  <c r="E49" i="20"/>
  <c r="F49" i="20"/>
  <c r="G49" i="20"/>
  <c r="H49" i="20"/>
  <c r="I49" i="20"/>
  <c r="J49" i="20"/>
  <c r="K49" i="20"/>
  <c r="L49" i="20"/>
  <c r="M49" i="20"/>
  <c r="N49" i="20"/>
  <c r="C48" i="20"/>
  <c r="D48" i="20"/>
  <c r="E48" i="20"/>
  <c r="F48" i="20"/>
  <c r="G48" i="20"/>
  <c r="H48" i="20"/>
  <c r="I48" i="20"/>
  <c r="J48" i="20"/>
  <c r="K48" i="20"/>
  <c r="L48" i="20"/>
  <c r="M48" i="20"/>
  <c r="N48" i="20"/>
  <c r="B48" i="20"/>
  <c r="B49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B47" i="20"/>
  <c r="P40" i="20"/>
  <c r="P39" i="20"/>
  <c r="P38" i="20"/>
  <c r="P37" i="20"/>
  <c r="P53" i="20" l="1"/>
  <c r="P48" i="20"/>
  <c r="P60" i="20"/>
  <c r="P61" i="20"/>
  <c r="P47" i="20"/>
  <c r="P49" i="20"/>
  <c r="P54" i="20"/>
  <c r="P55" i="20"/>
  <c r="P59" i="20"/>
  <c r="C50" i="22" l="1"/>
  <c r="D50" i="22"/>
  <c r="E50" i="22"/>
  <c r="F50" i="22"/>
  <c r="G50" i="22"/>
  <c r="H50" i="22"/>
  <c r="I50" i="22"/>
  <c r="J50" i="22"/>
  <c r="K50" i="22"/>
  <c r="L50" i="22"/>
  <c r="M50" i="22"/>
  <c r="N50" i="22"/>
  <c r="B50" i="22"/>
  <c r="C49" i="22"/>
  <c r="D49" i="22"/>
  <c r="E49" i="22"/>
  <c r="F49" i="22"/>
  <c r="G49" i="22"/>
  <c r="H49" i="22"/>
  <c r="I49" i="22"/>
  <c r="J49" i="22"/>
  <c r="K49" i="22"/>
  <c r="L49" i="22"/>
  <c r="M49" i="22"/>
  <c r="N49" i="22"/>
  <c r="B49" i="22"/>
  <c r="N48" i="22"/>
  <c r="N28" i="22" s="1"/>
  <c r="C48" i="22"/>
  <c r="C28" i="22" s="1"/>
  <c r="D48" i="22"/>
  <c r="D28" i="22" s="1"/>
  <c r="E48" i="22"/>
  <c r="E28" i="22" s="1"/>
  <c r="F48" i="22"/>
  <c r="F28" i="22" s="1"/>
  <c r="G48" i="22"/>
  <c r="G28" i="22" s="1"/>
  <c r="H48" i="22"/>
  <c r="H28" i="22" s="1"/>
  <c r="I48" i="22"/>
  <c r="I28" i="22" s="1"/>
  <c r="J48" i="22"/>
  <c r="J28" i="22" s="1"/>
  <c r="K48" i="22"/>
  <c r="K28" i="22" s="1"/>
  <c r="L48" i="22"/>
  <c r="L28" i="22" s="1"/>
  <c r="M48" i="22"/>
  <c r="M28" i="22" s="1"/>
  <c r="B48" i="22"/>
  <c r="B28" i="22" s="1"/>
  <c r="R48" i="22" l="1"/>
  <c r="R49" i="22"/>
  <c r="R50" i="22"/>
  <c r="B27" i="36"/>
  <c r="C27" i="36"/>
  <c r="D27" i="36"/>
  <c r="E27" i="36"/>
  <c r="F27" i="36"/>
  <c r="G27" i="36"/>
  <c r="H27" i="36"/>
  <c r="I27" i="36"/>
  <c r="J27" i="36"/>
  <c r="K27" i="36"/>
  <c r="L27" i="36"/>
  <c r="M27" i="36"/>
  <c r="B28" i="36"/>
  <c r="C28" i="36"/>
  <c r="D28" i="36"/>
  <c r="E28" i="36"/>
  <c r="F28" i="36"/>
  <c r="G28" i="36"/>
  <c r="H28" i="36"/>
  <c r="I28" i="36"/>
  <c r="J28" i="36"/>
  <c r="K28" i="36"/>
  <c r="L28" i="36"/>
  <c r="M28" i="36"/>
  <c r="B29" i="36"/>
  <c r="C29" i="36"/>
  <c r="D29" i="36"/>
  <c r="E29" i="36"/>
  <c r="F29" i="36"/>
  <c r="G29" i="36"/>
  <c r="H29" i="36"/>
  <c r="I29" i="36"/>
  <c r="J29" i="36"/>
  <c r="K29" i="36"/>
  <c r="L29" i="36"/>
  <c r="M29" i="36"/>
  <c r="B30" i="36"/>
  <c r="C30" i="36"/>
  <c r="D30" i="36"/>
  <c r="E30" i="36"/>
  <c r="F30" i="36"/>
  <c r="G30" i="36"/>
  <c r="H30" i="36"/>
  <c r="I30" i="36"/>
  <c r="J30" i="36"/>
  <c r="K30" i="36"/>
  <c r="L30" i="36"/>
  <c r="M30" i="36"/>
  <c r="M34" i="22" l="1"/>
  <c r="L34" i="22"/>
  <c r="K34" i="22"/>
  <c r="M35" i="22"/>
  <c r="L35" i="22"/>
  <c r="K35" i="22"/>
  <c r="J35" i="22"/>
  <c r="I35" i="22"/>
  <c r="H35" i="22"/>
  <c r="G35" i="22"/>
  <c r="F35" i="22"/>
  <c r="E35" i="22"/>
  <c r="D35" i="22"/>
  <c r="C35" i="22"/>
  <c r="B35" i="22"/>
  <c r="J34" i="22"/>
  <c r="I34" i="22"/>
  <c r="H34" i="22"/>
  <c r="G34" i="22"/>
  <c r="F34" i="22"/>
  <c r="E34" i="22"/>
  <c r="D34" i="22"/>
  <c r="C34" i="22"/>
  <c r="B34" i="22"/>
  <c r="K28" i="20" l="1"/>
  <c r="J28" i="20"/>
  <c r="I28" i="20"/>
  <c r="C28" i="20"/>
  <c r="B28" i="20"/>
  <c r="M27" i="20"/>
  <c r="G27" i="20"/>
  <c r="F27" i="20"/>
  <c r="E27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M28" i="20"/>
  <c r="L28" i="20"/>
  <c r="H28" i="20"/>
  <c r="G28" i="20"/>
  <c r="F28" i="20"/>
  <c r="E28" i="20"/>
  <c r="D28" i="20"/>
  <c r="L27" i="20"/>
  <c r="K27" i="20"/>
  <c r="J27" i="20"/>
  <c r="I27" i="20"/>
  <c r="H27" i="20"/>
  <c r="D27" i="20"/>
  <c r="C27" i="20"/>
  <c r="B27" i="20"/>
  <c r="K26" i="42" l="1"/>
  <c r="J26" i="42"/>
  <c r="O78" i="43" l="1"/>
  <c r="O77" i="43"/>
  <c r="O76" i="43"/>
  <c r="O65" i="43"/>
  <c r="O64" i="43"/>
  <c r="O63" i="43"/>
  <c r="O52" i="43"/>
  <c r="O51" i="43"/>
  <c r="O50" i="43"/>
  <c r="M80" i="43" l="1"/>
  <c r="M34" i="43" s="1"/>
  <c r="L80" i="43"/>
  <c r="L34" i="43" s="1"/>
  <c r="K80" i="43"/>
  <c r="K34" i="43" s="1"/>
  <c r="J80" i="43"/>
  <c r="J34" i="43" s="1"/>
  <c r="I80" i="43"/>
  <c r="I34" i="43" s="1"/>
  <c r="H80" i="43"/>
  <c r="H34" i="43" s="1"/>
  <c r="G80" i="43"/>
  <c r="G34" i="43" s="1"/>
  <c r="F80" i="43"/>
  <c r="F34" i="43" s="1"/>
  <c r="E80" i="43"/>
  <c r="E34" i="43" s="1"/>
  <c r="D80" i="43"/>
  <c r="D34" i="43" s="1"/>
  <c r="C80" i="43"/>
  <c r="C34" i="43" s="1"/>
  <c r="B80" i="43"/>
  <c r="B34" i="43" s="1"/>
  <c r="M67" i="43"/>
  <c r="M35" i="43" s="1"/>
  <c r="L67" i="43"/>
  <c r="L35" i="43" s="1"/>
  <c r="K67" i="43"/>
  <c r="K35" i="43" s="1"/>
  <c r="J67" i="43"/>
  <c r="J35" i="43" s="1"/>
  <c r="I67" i="43"/>
  <c r="I35" i="43" s="1"/>
  <c r="H67" i="43"/>
  <c r="H35" i="43" s="1"/>
  <c r="G67" i="43"/>
  <c r="G35" i="43" s="1"/>
  <c r="F67" i="43"/>
  <c r="F35" i="43" s="1"/>
  <c r="E67" i="43"/>
  <c r="E35" i="43" s="1"/>
  <c r="D67" i="43"/>
  <c r="D35" i="43" s="1"/>
  <c r="C67" i="43"/>
  <c r="C35" i="43" s="1"/>
  <c r="B67" i="43"/>
  <c r="B35" i="43" s="1"/>
  <c r="O41" i="43" l="1"/>
  <c r="O40" i="43"/>
  <c r="O75" i="43" l="1"/>
  <c r="O62" i="43"/>
  <c r="O49" i="43"/>
  <c r="O61" i="20" l="1"/>
  <c r="O60" i="20"/>
  <c r="O59" i="20"/>
  <c r="O55" i="20"/>
  <c r="O54" i="20"/>
  <c r="O53" i="20"/>
  <c r="O49" i="20"/>
  <c r="O48" i="20"/>
  <c r="O47" i="20"/>
  <c r="O50" i="22"/>
  <c r="O49" i="22"/>
  <c r="O48" i="22"/>
  <c r="I43" i="42" l="1"/>
  <c r="H43" i="42"/>
  <c r="G43" i="42"/>
  <c r="F43" i="42"/>
  <c r="E43" i="42"/>
  <c r="D43" i="42"/>
  <c r="C43" i="42"/>
  <c r="B43" i="42"/>
  <c r="M50" i="42"/>
  <c r="L50" i="42"/>
  <c r="K50" i="42"/>
  <c r="J50" i="42"/>
  <c r="I50" i="42"/>
  <c r="H50" i="42"/>
  <c r="G50" i="42"/>
  <c r="F50" i="42"/>
  <c r="E50" i="42"/>
  <c r="D50" i="42"/>
  <c r="C50" i="42"/>
  <c r="B50" i="42"/>
  <c r="M57" i="42"/>
  <c r="L57" i="42"/>
  <c r="K57" i="42"/>
  <c r="J57" i="42"/>
  <c r="I57" i="42"/>
  <c r="H57" i="42"/>
  <c r="G57" i="42"/>
  <c r="F57" i="42"/>
  <c r="E57" i="42"/>
  <c r="D57" i="42"/>
  <c r="C57" i="42"/>
  <c r="B57" i="42"/>
  <c r="I26" i="42"/>
  <c r="N77" i="37" l="1"/>
  <c r="N78" i="37"/>
  <c r="N76" i="37"/>
  <c r="O72" i="43"/>
  <c r="O71" i="43"/>
  <c r="O70" i="43"/>
  <c r="O59" i="43"/>
  <c r="O58" i="43"/>
  <c r="O57" i="43"/>
  <c r="O46" i="43"/>
  <c r="O45" i="43"/>
  <c r="O44" i="43"/>
  <c r="O28" i="43"/>
  <c r="O27" i="43"/>
  <c r="N54" i="43"/>
  <c r="N29" i="43" s="1"/>
  <c r="N67" i="43"/>
  <c r="N35" i="43" s="1"/>
  <c r="N80" i="43"/>
  <c r="N34" i="43" s="1"/>
  <c r="N79" i="37" l="1"/>
  <c r="B80" i="37" s="1"/>
  <c r="C80" i="37" s="1"/>
  <c r="L54" i="43"/>
  <c r="L29" i="43" s="1"/>
  <c r="K54" i="43"/>
  <c r="K29" i="43" s="1"/>
  <c r="J54" i="43"/>
  <c r="J29" i="43" s="1"/>
  <c r="I54" i="43"/>
  <c r="I29" i="43" s="1"/>
  <c r="H54" i="43"/>
  <c r="H29" i="43" s="1"/>
  <c r="G54" i="43"/>
  <c r="G29" i="43" s="1"/>
  <c r="F54" i="43"/>
  <c r="F29" i="43" s="1"/>
  <c r="E54" i="43"/>
  <c r="E29" i="43" s="1"/>
  <c r="D54" i="43"/>
  <c r="D29" i="43" s="1"/>
  <c r="C54" i="43"/>
  <c r="C29" i="43" s="1"/>
  <c r="B54" i="43"/>
  <c r="B29" i="43" s="1"/>
  <c r="H26" i="42"/>
  <c r="F32" i="43" l="1"/>
  <c r="F36" i="43" s="1"/>
  <c r="C32" i="43"/>
  <c r="C36" i="43" s="1"/>
  <c r="G32" i="43"/>
  <c r="G36" i="43" s="1"/>
  <c r="I32" i="43"/>
  <c r="I36" i="43" s="1"/>
  <c r="K32" i="43"/>
  <c r="K36" i="43" s="1"/>
  <c r="L32" i="43"/>
  <c r="L36" i="43" s="1"/>
  <c r="H32" i="43"/>
  <c r="H36" i="43" s="1"/>
  <c r="B32" i="43"/>
  <c r="B36" i="43" s="1"/>
  <c r="J32" i="43"/>
  <c r="J36" i="43" s="1"/>
  <c r="D32" i="43"/>
  <c r="D36" i="43" s="1"/>
  <c r="E32" i="43"/>
  <c r="E36" i="43" s="1"/>
  <c r="B81" i="37"/>
  <c r="B36" i="37" s="1"/>
  <c r="B46" i="37" s="1"/>
  <c r="C81" i="37"/>
  <c r="C36" i="37" s="1"/>
  <c r="C46" i="37" s="1"/>
  <c r="D80" i="37"/>
  <c r="C42" i="37" l="1"/>
  <c r="E80" i="37"/>
  <c r="D81" i="37"/>
  <c r="D36" i="37" s="1"/>
  <c r="D46" i="37" s="1"/>
  <c r="D42" i="37" s="1"/>
  <c r="O38" i="20"/>
  <c r="F80" i="37" l="1"/>
  <c r="E81" i="37"/>
  <c r="N27" i="20"/>
  <c r="B22" i="26"/>
  <c r="M62" i="20"/>
  <c r="M32" i="20" s="1"/>
  <c r="L62" i="20"/>
  <c r="L32" i="20" s="1"/>
  <c r="K62" i="20"/>
  <c r="K32" i="20" s="1"/>
  <c r="J62" i="20"/>
  <c r="J32" i="20" s="1"/>
  <c r="I62" i="20"/>
  <c r="I32" i="20" s="1"/>
  <c r="H62" i="20"/>
  <c r="H32" i="20" s="1"/>
  <c r="G62" i="20"/>
  <c r="G32" i="20" s="1"/>
  <c r="F62" i="20"/>
  <c r="F32" i="20" s="1"/>
  <c r="E62" i="20"/>
  <c r="E32" i="20" s="1"/>
  <c r="D62" i="20"/>
  <c r="D32" i="20" s="1"/>
  <c r="C62" i="20"/>
  <c r="C32" i="20" s="1"/>
  <c r="B62" i="20"/>
  <c r="B32" i="20" s="1"/>
  <c r="M56" i="20"/>
  <c r="M33" i="20" s="1"/>
  <c r="L56" i="20"/>
  <c r="L33" i="20" s="1"/>
  <c r="K56" i="20"/>
  <c r="K33" i="20" s="1"/>
  <c r="J56" i="20"/>
  <c r="J33" i="20" s="1"/>
  <c r="I56" i="20"/>
  <c r="I33" i="20" s="1"/>
  <c r="H56" i="20"/>
  <c r="H33" i="20" s="1"/>
  <c r="G56" i="20"/>
  <c r="G33" i="20" s="1"/>
  <c r="F56" i="20"/>
  <c r="F33" i="20" s="1"/>
  <c r="E56" i="20"/>
  <c r="E33" i="20" s="1"/>
  <c r="D56" i="20"/>
  <c r="D33" i="20" s="1"/>
  <c r="C56" i="20"/>
  <c r="C33" i="20" s="1"/>
  <c r="B56" i="20"/>
  <c r="B33" i="20" s="1"/>
  <c r="M50" i="20"/>
  <c r="L50" i="20"/>
  <c r="L26" i="20" s="1"/>
  <c r="K50" i="20"/>
  <c r="K26" i="20" s="1"/>
  <c r="J50" i="20"/>
  <c r="J26" i="20" s="1"/>
  <c r="I50" i="20"/>
  <c r="I26" i="20" s="1"/>
  <c r="H50" i="20"/>
  <c r="H26" i="20" s="1"/>
  <c r="G50" i="20"/>
  <c r="G26" i="20" s="1"/>
  <c r="F50" i="20"/>
  <c r="F26" i="20" s="1"/>
  <c r="E50" i="20"/>
  <c r="E26" i="20" s="1"/>
  <c r="D50" i="20"/>
  <c r="D26" i="20" s="1"/>
  <c r="C50" i="20"/>
  <c r="C26" i="20" s="1"/>
  <c r="B50" i="20"/>
  <c r="B26" i="20" s="1"/>
  <c r="M41" i="20"/>
  <c r="L41" i="20"/>
  <c r="K41" i="20"/>
  <c r="J41" i="20"/>
  <c r="I41" i="20"/>
  <c r="H41" i="20"/>
  <c r="G41" i="20"/>
  <c r="F41" i="20"/>
  <c r="E41" i="20"/>
  <c r="D41" i="20"/>
  <c r="C41" i="20"/>
  <c r="B41" i="20"/>
  <c r="M41" i="22"/>
  <c r="L41" i="22"/>
  <c r="K41" i="22"/>
  <c r="J41" i="22"/>
  <c r="I41" i="22"/>
  <c r="H41" i="22"/>
  <c r="G41" i="22"/>
  <c r="F41" i="22"/>
  <c r="E41" i="22"/>
  <c r="D41" i="22"/>
  <c r="C41" i="22"/>
  <c r="B41" i="22"/>
  <c r="I32" i="22"/>
  <c r="I36" i="22" s="1"/>
  <c r="M58" i="36"/>
  <c r="M34" i="36" s="1"/>
  <c r="L58" i="36"/>
  <c r="L34" i="36" s="1"/>
  <c r="K58" i="36"/>
  <c r="K34" i="36" s="1"/>
  <c r="J58" i="36"/>
  <c r="J34" i="36" s="1"/>
  <c r="I58" i="36"/>
  <c r="I34" i="36" s="1"/>
  <c r="H58" i="36"/>
  <c r="H34" i="36" s="1"/>
  <c r="G58" i="36"/>
  <c r="G34" i="36" s="1"/>
  <c r="F58" i="36"/>
  <c r="F34" i="36" s="1"/>
  <c r="E58" i="36"/>
  <c r="E34" i="36" s="1"/>
  <c r="M51" i="36"/>
  <c r="M35" i="36" s="1"/>
  <c r="L51" i="36"/>
  <c r="L35" i="36" s="1"/>
  <c r="K51" i="36"/>
  <c r="K35" i="36" s="1"/>
  <c r="J51" i="36"/>
  <c r="J35" i="36" s="1"/>
  <c r="I51" i="36"/>
  <c r="I35" i="36" s="1"/>
  <c r="H51" i="36"/>
  <c r="H35" i="36" s="1"/>
  <c r="G51" i="36"/>
  <c r="G35" i="36" s="1"/>
  <c r="F51" i="36"/>
  <c r="F35" i="36" s="1"/>
  <c r="E51" i="36"/>
  <c r="E35" i="36" s="1"/>
  <c r="M44" i="36"/>
  <c r="L44" i="36"/>
  <c r="K44" i="36"/>
  <c r="J44" i="36"/>
  <c r="I44" i="36"/>
  <c r="H44" i="36"/>
  <c r="G44" i="36"/>
  <c r="F44" i="36"/>
  <c r="E44" i="36"/>
  <c r="P41" i="22" l="1"/>
  <c r="C22" i="26"/>
  <c r="D22" i="26" s="1"/>
  <c r="E36" i="37"/>
  <c r="E46" i="37" s="1"/>
  <c r="G80" i="37"/>
  <c r="F81" i="37"/>
  <c r="F36" i="37" s="1"/>
  <c r="F46" i="37" s="1"/>
  <c r="F25" i="37" s="1"/>
  <c r="F42" i="37" s="1"/>
  <c r="O27" i="20"/>
  <c r="B30" i="20"/>
  <c r="J30" i="20"/>
  <c r="J34" i="20" s="1"/>
  <c r="F30" i="20"/>
  <c r="F34" i="20" s="1"/>
  <c r="C30" i="20"/>
  <c r="K30" i="20"/>
  <c r="K34" i="20" s="1"/>
  <c r="G30" i="20"/>
  <c r="G34" i="20" s="1"/>
  <c r="D30" i="20"/>
  <c r="L30" i="20"/>
  <c r="H30" i="20"/>
  <c r="H34" i="20" s="1"/>
  <c r="I30" i="20"/>
  <c r="I34" i="20" s="1"/>
  <c r="E30" i="20"/>
  <c r="E34" i="20" s="1"/>
  <c r="M30" i="20"/>
  <c r="D32" i="22"/>
  <c r="D36" i="22" s="1"/>
  <c r="L32" i="22"/>
  <c r="K32" i="22"/>
  <c r="C32" i="22"/>
  <c r="B32" i="22"/>
  <c r="B36" i="22" s="1"/>
  <c r="J32" i="22"/>
  <c r="J36" i="22" s="1"/>
  <c r="F32" i="22"/>
  <c r="F36" i="22" s="1"/>
  <c r="G32" i="22"/>
  <c r="G36" i="22" s="1"/>
  <c r="H32" i="22"/>
  <c r="H36" i="22" s="1"/>
  <c r="E32" i="22"/>
  <c r="E36" i="22" s="1"/>
  <c r="M32" i="22"/>
  <c r="F32" i="36"/>
  <c r="F36" i="36" s="1"/>
  <c r="J32" i="36"/>
  <c r="J36" i="36" s="1"/>
  <c r="E32" i="36"/>
  <c r="E36" i="36" s="1"/>
  <c r="M32" i="36"/>
  <c r="M36" i="36" s="1"/>
  <c r="I32" i="36"/>
  <c r="I36" i="36" s="1"/>
  <c r="H32" i="36"/>
  <c r="H36" i="36" s="1"/>
  <c r="G32" i="36"/>
  <c r="G36" i="36" s="1"/>
  <c r="K32" i="36"/>
  <c r="K36" i="36" s="1"/>
  <c r="L32" i="36"/>
  <c r="L36" i="36" s="1"/>
  <c r="M36" i="22" l="1"/>
  <c r="M34" i="20"/>
  <c r="E25" i="37"/>
  <c r="C36" i="22"/>
  <c r="C34" i="20"/>
  <c r="B34" i="20"/>
  <c r="K36" i="22"/>
  <c r="D34" i="20"/>
  <c r="L34" i="20"/>
  <c r="L36" i="22"/>
  <c r="H80" i="37"/>
  <c r="G81" i="37"/>
  <c r="G36" i="37" s="1"/>
  <c r="G46" i="37" s="1"/>
  <c r="G25" i="37" s="1"/>
  <c r="G42" i="37" s="1"/>
  <c r="E42" i="37" l="1"/>
  <c r="I80" i="37"/>
  <c r="H81" i="37"/>
  <c r="O34" i="43"/>
  <c r="O74" i="43"/>
  <c r="O73" i="43"/>
  <c r="O35" i="43"/>
  <c r="O61" i="43"/>
  <c r="O60" i="43"/>
  <c r="O47" i="43"/>
  <c r="O48" i="43"/>
  <c r="M54" i="43"/>
  <c r="M29" i="43" s="1"/>
  <c r="M32" i="43" l="1"/>
  <c r="M36" i="43" s="1"/>
  <c r="J80" i="37"/>
  <c r="I81" i="37"/>
  <c r="I36" i="37" s="1"/>
  <c r="I46" i="37" s="1"/>
  <c r="I25" i="37" s="1"/>
  <c r="I42" i="37" s="1"/>
  <c r="H36" i="37"/>
  <c r="H46" i="37" s="1"/>
  <c r="H25" i="37" s="1"/>
  <c r="O80" i="43"/>
  <c r="O67" i="43"/>
  <c r="O54" i="43"/>
  <c r="H42" i="37" l="1"/>
  <c r="O29" i="43"/>
  <c r="K80" i="37"/>
  <c r="J81" i="37"/>
  <c r="J36" i="37" s="1"/>
  <c r="J46" i="37" s="1"/>
  <c r="J25" i="37" s="1"/>
  <c r="J42" i="37" s="1"/>
  <c r="O30" i="43"/>
  <c r="O31" i="43"/>
  <c r="L80" i="37" l="1"/>
  <c r="K81" i="37"/>
  <c r="K36" i="37" s="1"/>
  <c r="K46" i="37" s="1"/>
  <c r="K25" i="37" s="1"/>
  <c r="K42" i="37" s="1"/>
  <c r="D32" i="36"/>
  <c r="C32" i="36"/>
  <c r="B32" i="36"/>
  <c r="D58" i="36"/>
  <c r="D34" i="36" s="1"/>
  <c r="C58" i="36"/>
  <c r="C34" i="36" s="1"/>
  <c r="B58" i="36"/>
  <c r="B34" i="36" s="1"/>
  <c r="D51" i="36"/>
  <c r="D35" i="36" s="1"/>
  <c r="C51" i="36"/>
  <c r="C35" i="36" s="1"/>
  <c r="B51" i="36"/>
  <c r="B35" i="36" s="1"/>
  <c r="D44" i="36"/>
  <c r="C44" i="36"/>
  <c r="B44" i="36"/>
  <c r="N32" i="43"/>
  <c r="G26" i="42"/>
  <c r="N35" i="22"/>
  <c r="N34" i="22"/>
  <c r="N41" i="22"/>
  <c r="O40" i="22"/>
  <c r="O44" i="22"/>
  <c r="O43" i="22"/>
  <c r="O39" i="22"/>
  <c r="F26" i="42"/>
  <c r="B36" i="36" l="1"/>
  <c r="C36" i="36"/>
  <c r="D36" i="36"/>
  <c r="M80" i="37"/>
  <c r="M81" i="37" s="1"/>
  <c r="L81" i="37"/>
  <c r="L36" i="37" s="1"/>
  <c r="L46" i="37" s="1"/>
  <c r="L25" i="37" s="1"/>
  <c r="L42" i="37" s="1"/>
  <c r="N36" i="43"/>
  <c r="O32" i="43"/>
  <c r="O41" i="22"/>
  <c r="M36" i="37" l="1"/>
  <c r="M46" i="37" s="1"/>
  <c r="N81" i="37"/>
  <c r="O36" i="43"/>
  <c r="O43" i="20"/>
  <c r="O42" i="20"/>
  <c r="N62" i="20"/>
  <c r="N32" i="20" s="1"/>
  <c r="N56" i="20"/>
  <c r="N33" i="20" s="1"/>
  <c r="N50" i="20"/>
  <c r="N29" i="20"/>
  <c r="N28" i="20"/>
  <c r="M25" i="37" l="1"/>
  <c r="N46" i="37"/>
  <c r="O33" i="20"/>
  <c r="O32" i="20"/>
  <c r="O50" i="20"/>
  <c r="O56" i="20"/>
  <c r="O62" i="20"/>
  <c r="M42" i="37" l="1"/>
  <c r="N42" i="37" s="1"/>
  <c r="N25" i="37"/>
  <c r="N41" i="37" s="1"/>
  <c r="B41" i="37" s="1"/>
  <c r="O40" i="20"/>
  <c r="O39" i="20"/>
  <c r="P56" i="20"/>
  <c r="P62" i="20"/>
  <c r="O37" i="20"/>
  <c r="N30" i="36"/>
  <c r="N29" i="36"/>
  <c r="N28" i="36"/>
  <c r="N27" i="36"/>
  <c r="C41" i="37" l="1"/>
  <c r="B43" i="37"/>
  <c r="O41" i="20"/>
  <c r="N58" i="36"/>
  <c r="N34" i="36" s="1"/>
  <c r="O57" i="36"/>
  <c r="R61" i="20" s="1"/>
  <c r="O56" i="36"/>
  <c r="R60" i="20" s="1"/>
  <c r="O55" i="36"/>
  <c r="R59" i="20" s="1"/>
  <c r="O54" i="36"/>
  <c r="S50" i="22" s="1"/>
  <c r="N51" i="36"/>
  <c r="N35" i="36" s="1"/>
  <c r="O50" i="36"/>
  <c r="R55" i="20" s="1"/>
  <c r="O49" i="36"/>
  <c r="R54" i="20" s="1"/>
  <c r="O48" i="36"/>
  <c r="R53" i="20" s="1"/>
  <c r="O47" i="36"/>
  <c r="S49" i="22" s="1"/>
  <c r="O43" i="36"/>
  <c r="R49" i="20" s="1"/>
  <c r="O42" i="36"/>
  <c r="R48" i="20" s="1"/>
  <c r="O41" i="36"/>
  <c r="R47" i="20" s="1"/>
  <c r="O40" i="36"/>
  <c r="S48" i="22" s="1"/>
  <c r="N44" i="36"/>
  <c r="D41" i="37" l="1"/>
  <c r="C43" i="37"/>
  <c r="O58" i="36"/>
  <c r="O51" i="36"/>
  <c r="O44" i="36"/>
  <c r="D43" i="37" l="1"/>
  <c r="E41" i="37"/>
  <c r="E26" i="42"/>
  <c r="F41" i="37" l="1"/>
  <c r="E43" i="37"/>
  <c r="B24" i="26"/>
  <c r="B23" i="26"/>
  <c r="B21" i="26"/>
  <c r="B30" i="34"/>
  <c r="B29" i="34"/>
  <c r="B28" i="34"/>
  <c r="B27" i="34"/>
  <c r="B26" i="34"/>
  <c r="G41" i="37" l="1"/>
  <c r="F43" i="37"/>
  <c r="E26" i="34"/>
  <c r="O35" i="22"/>
  <c r="P49" i="22" s="1"/>
  <c r="O34" i="22"/>
  <c r="P50" i="22" s="1"/>
  <c r="O31" i="22"/>
  <c r="O30" i="22"/>
  <c r="O29" i="22"/>
  <c r="O28" i="22"/>
  <c r="P48" i="22" s="1"/>
  <c r="O27" i="22"/>
  <c r="O38" i="26"/>
  <c r="O29" i="20"/>
  <c r="O28" i="20"/>
  <c r="D26" i="42"/>
  <c r="C26" i="42"/>
  <c r="B26" i="42"/>
  <c r="B45" i="42" s="1"/>
  <c r="J27" i="42"/>
  <c r="K27" i="42"/>
  <c r="L27" i="42"/>
  <c r="M27" i="42"/>
  <c r="C27" i="42"/>
  <c r="D27" i="42"/>
  <c r="E27" i="42"/>
  <c r="F27" i="42"/>
  <c r="G27" i="42"/>
  <c r="H27" i="42"/>
  <c r="I27" i="42"/>
  <c r="B27" i="42"/>
  <c r="C28" i="42"/>
  <c r="D28" i="42"/>
  <c r="E28" i="42"/>
  <c r="F28" i="42"/>
  <c r="G28" i="42"/>
  <c r="H28" i="42"/>
  <c r="I28" i="42"/>
  <c r="J28" i="42"/>
  <c r="K28" i="42"/>
  <c r="L28" i="42"/>
  <c r="M28" i="42"/>
  <c r="B28" i="42"/>
  <c r="B52" i="42" s="1"/>
  <c r="C64" i="42"/>
  <c r="C59" i="42" s="1"/>
  <c r="D64" i="42"/>
  <c r="D59" i="42" s="1"/>
  <c r="G64" i="42"/>
  <c r="G59" i="42" s="1"/>
  <c r="K64" i="42"/>
  <c r="K59" i="42" s="1"/>
  <c r="L64" i="42"/>
  <c r="L59" i="42" s="1"/>
  <c r="B64" i="42"/>
  <c r="B59" i="42" s="1"/>
  <c r="M64" i="42"/>
  <c r="M59" i="42" s="1"/>
  <c r="J64" i="42"/>
  <c r="J59" i="42" s="1"/>
  <c r="I64" i="42"/>
  <c r="I59" i="42" s="1"/>
  <c r="H64" i="42"/>
  <c r="H59" i="42" s="1"/>
  <c r="F64" i="42"/>
  <c r="F59" i="42" s="1"/>
  <c r="E64" i="42"/>
  <c r="E59" i="42" s="1"/>
  <c r="K52" i="42"/>
  <c r="J52" i="42"/>
  <c r="C52" i="42"/>
  <c r="H41" i="37" l="1"/>
  <c r="G43" i="37"/>
  <c r="I52" i="42"/>
  <c r="N57" i="42"/>
  <c r="N29" i="42"/>
  <c r="N63" i="42" s="1"/>
  <c r="B63" i="42" s="1"/>
  <c r="C63" i="42" s="1"/>
  <c r="D63" i="42" s="1"/>
  <c r="E63" i="42" s="1"/>
  <c r="F63" i="42" s="1"/>
  <c r="C45" i="42"/>
  <c r="D52" i="42"/>
  <c r="N50" i="42"/>
  <c r="L52" i="42"/>
  <c r="D45" i="42"/>
  <c r="E52" i="42"/>
  <c r="M52" i="42"/>
  <c r="F52" i="42"/>
  <c r="N64" i="42"/>
  <c r="G52" i="42"/>
  <c r="H52" i="42"/>
  <c r="M64" i="41"/>
  <c r="L64" i="41"/>
  <c r="K64" i="41"/>
  <c r="J64" i="41"/>
  <c r="I64" i="41"/>
  <c r="H64" i="41"/>
  <c r="G64" i="41"/>
  <c r="F64" i="41"/>
  <c r="E64" i="41"/>
  <c r="D64" i="41"/>
  <c r="C64" i="41"/>
  <c r="B64" i="41"/>
  <c r="M57" i="41"/>
  <c r="L57" i="41"/>
  <c r="K57" i="41"/>
  <c r="J57" i="41"/>
  <c r="I57" i="41"/>
  <c r="H57" i="41"/>
  <c r="G57" i="41"/>
  <c r="G59" i="41" s="1"/>
  <c r="F57" i="41"/>
  <c r="E57" i="41"/>
  <c r="D57" i="41"/>
  <c r="C57" i="41"/>
  <c r="B57" i="41"/>
  <c r="M50" i="41"/>
  <c r="L50" i="41"/>
  <c r="K50" i="41"/>
  <c r="J50" i="41"/>
  <c r="I50" i="41"/>
  <c r="H50" i="41"/>
  <c r="G50" i="41"/>
  <c r="F50" i="41"/>
  <c r="E50" i="41"/>
  <c r="D50" i="41"/>
  <c r="C50" i="41"/>
  <c r="B50" i="41"/>
  <c r="D43" i="41"/>
  <c r="C43" i="41"/>
  <c r="B43" i="41"/>
  <c r="B37" i="41" s="1"/>
  <c r="N29" i="41"/>
  <c r="N63" i="41" s="1"/>
  <c r="B63" i="41" s="1"/>
  <c r="N28" i="41"/>
  <c r="N28" i="42" s="1"/>
  <c r="N56" i="42" s="1"/>
  <c r="B56" i="42" s="1"/>
  <c r="C56" i="42" s="1"/>
  <c r="N27" i="41"/>
  <c r="M64" i="40"/>
  <c r="L64" i="40"/>
  <c r="K64" i="40"/>
  <c r="J64" i="40"/>
  <c r="I64" i="40"/>
  <c r="H64" i="40"/>
  <c r="G64" i="40"/>
  <c r="F64" i="40"/>
  <c r="E64" i="40"/>
  <c r="D64" i="40"/>
  <c r="C64" i="40"/>
  <c r="B64" i="40"/>
  <c r="M57" i="40"/>
  <c r="L57" i="40"/>
  <c r="L59" i="40" s="1"/>
  <c r="K57" i="40"/>
  <c r="K59" i="40" s="1"/>
  <c r="J57" i="40"/>
  <c r="I57" i="40"/>
  <c r="H57" i="40"/>
  <c r="G57" i="40"/>
  <c r="F57" i="40"/>
  <c r="E57" i="40"/>
  <c r="D57" i="40"/>
  <c r="C57" i="40"/>
  <c r="C59" i="40" s="1"/>
  <c r="B57" i="40"/>
  <c r="M50" i="40"/>
  <c r="L50" i="40"/>
  <c r="K50" i="40"/>
  <c r="J50" i="40"/>
  <c r="I50" i="40"/>
  <c r="H50" i="40"/>
  <c r="G50" i="40"/>
  <c r="G52" i="40" s="1"/>
  <c r="F50" i="40"/>
  <c r="E50" i="40"/>
  <c r="D50" i="40"/>
  <c r="C50" i="40"/>
  <c r="B50" i="40"/>
  <c r="D43" i="40"/>
  <c r="D37" i="40" s="1"/>
  <c r="C43" i="40"/>
  <c r="C37" i="40" s="1"/>
  <c r="B43" i="40"/>
  <c r="B37" i="40" s="1"/>
  <c r="N29" i="40"/>
  <c r="N63" i="40" s="1"/>
  <c r="B63" i="40" s="1"/>
  <c r="C63" i="40" s="1"/>
  <c r="C65" i="40" s="1"/>
  <c r="N28" i="40"/>
  <c r="N56" i="40" s="1"/>
  <c r="B56" i="40" s="1"/>
  <c r="N27" i="40"/>
  <c r="N49" i="40" s="1"/>
  <c r="B49" i="40" s="1"/>
  <c r="C49" i="40" s="1"/>
  <c r="D49" i="40" s="1"/>
  <c r="E49" i="40" s="1"/>
  <c r="F49" i="40" s="1"/>
  <c r="M64" i="39"/>
  <c r="L64" i="39"/>
  <c r="K64" i="39"/>
  <c r="J64" i="39"/>
  <c r="I64" i="39"/>
  <c r="H64" i="39"/>
  <c r="G64" i="39"/>
  <c r="F64" i="39"/>
  <c r="E64" i="39"/>
  <c r="D64" i="39"/>
  <c r="C64" i="39"/>
  <c r="B64" i="39"/>
  <c r="M57" i="39"/>
  <c r="L57" i="39"/>
  <c r="K57" i="39"/>
  <c r="J57" i="39"/>
  <c r="J59" i="39" s="1"/>
  <c r="I57" i="39"/>
  <c r="H57" i="39"/>
  <c r="G57" i="39"/>
  <c r="F57" i="39"/>
  <c r="F59" i="39" s="1"/>
  <c r="E57" i="39"/>
  <c r="D57" i="39"/>
  <c r="C57" i="39"/>
  <c r="B57" i="39"/>
  <c r="M50" i="39"/>
  <c r="L50" i="39"/>
  <c r="K50" i="39"/>
  <c r="K52" i="39" s="1"/>
  <c r="J50" i="39"/>
  <c r="J52" i="39" s="1"/>
  <c r="I50" i="39"/>
  <c r="H50" i="39"/>
  <c r="G50" i="39"/>
  <c r="F50" i="39"/>
  <c r="E50" i="39"/>
  <c r="D50" i="39"/>
  <c r="C50" i="39"/>
  <c r="C52" i="39" s="1"/>
  <c r="B50" i="39"/>
  <c r="D43" i="39"/>
  <c r="C43" i="39"/>
  <c r="B43" i="39"/>
  <c r="B37" i="39" s="1"/>
  <c r="N29" i="39"/>
  <c r="N63" i="39" s="1"/>
  <c r="B63" i="39" s="1"/>
  <c r="C63" i="39" s="1"/>
  <c r="N28" i="39"/>
  <c r="O28" i="39" s="1"/>
  <c r="P28" i="39" s="1"/>
  <c r="N27" i="39"/>
  <c r="I41" i="37" l="1"/>
  <c r="H43" i="37"/>
  <c r="C45" i="41"/>
  <c r="C37" i="41"/>
  <c r="D59" i="41"/>
  <c r="L59" i="41"/>
  <c r="D45" i="41"/>
  <c r="D37" i="41"/>
  <c r="F51" i="40"/>
  <c r="M52" i="40"/>
  <c r="B45" i="39"/>
  <c r="N59" i="42"/>
  <c r="I59" i="41"/>
  <c r="B59" i="41"/>
  <c r="J59" i="41"/>
  <c r="C59" i="41"/>
  <c r="K59" i="41"/>
  <c r="D52" i="41"/>
  <c r="F59" i="41"/>
  <c r="M59" i="41"/>
  <c r="E59" i="41"/>
  <c r="N49" i="41"/>
  <c r="B49" i="41" s="1"/>
  <c r="C49" i="41" s="1"/>
  <c r="D49" i="41" s="1"/>
  <c r="D51" i="41" s="1"/>
  <c r="N27" i="42"/>
  <c r="N49" i="42" s="1"/>
  <c r="B49" i="42" s="1"/>
  <c r="C49" i="42" s="1"/>
  <c r="D49" i="42" s="1"/>
  <c r="E49" i="42" s="1"/>
  <c r="F49" i="42" s="1"/>
  <c r="G49" i="42" s="1"/>
  <c r="H49" i="42" s="1"/>
  <c r="H59" i="41"/>
  <c r="B58" i="42"/>
  <c r="E65" i="42"/>
  <c r="D65" i="42"/>
  <c r="C65" i="42"/>
  <c r="B65" i="42"/>
  <c r="O59" i="42"/>
  <c r="F65" i="42"/>
  <c r="G63" i="42"/>
  <c r="C58" i="42"/>
  <c r="D56" i="42"/>
  <c r="O52" i="42"/>
  <c r="N52" i="42"/>
  <c r="M52" i="41"/>
  <c r="L52" i="41"/>
  <c r="J52" i="41"/>
  <c r="H52" i="41"/>
  <c r="F52" i="41"/>
  <c r="E52" i="41"/>
  <c r="E49" i="41"/>
  <c r="E51" i="41" s="1"/>
  <c r="G52" i="41"/>
  <c r="O27" i="41"/>
  <c r="P27" i="41" s="1"/>
  <c r="B51" i="41"/>
  <c r="N64" i="41"/>
  <c r="C51" i="41"/>
  <c r="C63" i="41"/>
  <c r="B65" i="41"/>
  <c r="E43" i="41"/>
  <c r="E37" i="41" s="1"/>
  <c r="I52" i="41"/>
  <c r="N57" i="41"/>
  <c r="B52" i="41"/>
  <c r="N50" i="41"/>
  <c r="N56" i="41"/>
  <c r="B56" i="41" s="1"/>
  <c r="B45" i="41"/>
  <c r="C52" i="41"/>
  <c r="K52" i="41"/>
  <c r="I52" i="40"/>
  <c r="H52" i="40"/>
  <c r="F52" i="40"/>
  <c r="E52" i="40"/>
  <c r="D52" i="40"/>
  <c r="M59" i="40"/>
  <c r="H59" i="40"/>
  <c r="G59" i="40"/>
  <c r="L52" i="40"/>
  <c r="J59" i="40"/>
  <c r="E51" i="40"/>
  <c r="B58" i="40"/>
  <c r="C56" i="40"/>
  <c r="B51" i="40"/>
  <c r="N50" i="40"/>
  <c r="C51" i="40"/>
  <c r="C52" i="40"/>
  <c r="K52" i="40"/>
  <c r="N64" i="40"/>
  <c r="O28" i="40"/>
  <c r="P28" i="40" s="1"/>
  <c r="B59" i="40"/>
  <c r="D63" i="40"/>
  <c r="B52" i="40"/>
  <c r="G49" i="40"/>
  <c r="D51" i="40"/>
  <c r="F59" i="40"/>
  <c r="N57" i="40"/>
  <c r="D59" i="40"/>
  <c r="C45" i="40"/>
  <c r="B45" i="40"/>
  <c r="E59" i="40"/>
  <c r="B65" i="40"/>
  <c r="D45" i="40"/>
  <c r="O27" i="40"/>
  <c r="P27" i="40" s="1"/>
  <c r="J52" i="40"/>
  <c r="I59" i="40"/>
  <c r="M52" i="39"/>
  <c r="E52" i="39"/>
  <c r="L52" i="39"/>
  <c r="G52" i="39"/>
  <c r="F52" i="39"/>
  <c r="O27" i="39"/>
  <c r="P27" i="39" s="1"/>
  <c r="D52" i="39"/>
  <c r="B52" i="39"/>
  <c r="I59" i="39"/>
  <c r="H59" i="39"/>
  <c r="B65" i="39"/>
  <c r="B59" i="39"/>
  <c r="C65" i="39"/>
  <c r="D63" i="39"/>
  <c r="E63" i="39" s="1"/>
  <c r="F63" i="39" s="1"/>
  <c r="G63" i="39" s="1"/>
  <c r="H63" i="39" s="1"/>
  <c r="I63" i="39" s="1"/>
  <c r="J63" i="39" s="1"/>
  <c r="J65" i="39" s="1"/>
  <c r="E59" i="39"/>
  <c r="M59" i="39"/>
  <c r="C45" i="39"/>
  <c r="G59" i="39"/>
  <c r="D45" i="39"/>
  <c r="E43" i="39" s="1"/>
  <c r="N49" i="39"/>
  <c r="B49" i="39" s="1"/>
  <c r="C49" i="39" s="1"/>
  <c r="I52" i="39"/>
  <c r="N57" i="39"/>
  <c r="D59" i="39"/>
  <c r="L59" i="39"/>
  <c r="N50" i="39"/>
  <c r="N56" i="39"/>
  <c r="B56" i="39" s="1"/>
  <c r="C56" i="39" s="1"/>
  <c r="D56" i="39" s="1"/>
  <c r="E56" i="39" s="1"/>
  <c r="N64" i="39"/>
  <c r="H52" i="39"/>
  <c r="C59" i="39"/>
  <c r="K59" i="39"/>
  <c r="J41" i="37" l="1"/>
  <c r="I43" i="37"/>
  <c r="O27" i="42"/>
  <c r="P27" i="42" s="1"/>
  <c r="B51" i="42"/>
  <c r="F51" i="42"/>
  <c r="C51" i="42"/>
  <c r="D51" i="42"/>
  <c r="G51" i="42"/>
  <c r="E51" i="42"/>
  <c r="O59" i="41"/>
  <c r="N59" i="41"/>
  <c r="G65" i="42"/>
  <c r="H63" i="42"/>
  <c r="H51" i="42"/>
  <c r="I49" i="42"/>
  <c r="E56" i="42"/>
  <c r="D58" i="42"/>
  <c r="E45" i="42"/>
  <c r="F49" i="41"/>
  <c r="F51" i="41" s="1"/>
  <c r="B58" i="41"/>
  <c r="C56" i="41"/>
  <c r="E45" i="41"/>
  <c r="N52" i="41"/>
  <c r="O52" i="41"/>
  <c r="C65" i="41"/>
  <c r="D63" i="41"/>
  <c r="N52" i="40"/>
  <c r="O52" i="40"/>
  <c r="O59" i="40"/>
  <c r="N59" i="40"/>
  <c r="C58" i="40"/>
  <c r="D56" i="40"/>
  <c r="E43" i="40"/>
  <c r="E37" i="40" s="1"/>
  <c r="D65" i="40"/>
  <c r="E63" i="40"/>
  <c r="G51" i="40"/>
  <c r="H49" i="40"/>
  <c r="B51" i="39"/>
  <c r="F65" i="39"/>
  <c r="E65" i="39"/>
  <c r="H65" i="39"/>
  <c r="I65" i="39"/>
  <c r="G65" i="39"/>
  <c r="K63" i="39"/>
  <c r="K65" i="39" s="1"/>
  <c r="D65" i="39"/>
  <c r="C58" i="39"/>
  <c r="D58" i="39"/>
  <c r="C51" i="39"/>
  <c r="D49" i="39"/>
  <c r="E45" i="39"/>
  <c r="N59" i="39"/>
  <c r="O59" i="39"/>
  <c r="E58" i="39"/>
  <c r="F56" i="39"/>
  <c r="O52" i="39"/>
  <c r="N52" i="39"/>
  <c r="B58" i="39"/>
  <c r="K41" i="37" l="1"/>
  <c r="J43" i="37"/>
  <c r="F56" i="42"/>
  <c r="E58" i="42"/>
  <c r="I63" i="42"/>
  <c r="H65" i="42"/>
  <c r="I51" i="42"/>
  <c r="J49" i="42"/>
  <c r="G49" i="41"/>
  <c r="G51" i="41" s="1"/>
  <c r="F43" i="41"/>
  <c r="F37" i="41" s="1"/>
  <c r="C58" i="41"/>
  <c r="D56" i="41"/>
  <c r="E63" i="41"/>
  <c r="D65" i="41"/>
  <c r="F63" i="40"/>
  <c r="E65" i="40"/>
  <c r="E45" i="40"/>
  <c r="H51" i="40"/>
  <c r="I49" i="40"/>
  <c r="E56" i="40"/>
  <c r="D58" i="40"/>
  <c r="L63" i="39"/>
  <c r="L65" i="39" s="1"/>
  <c r="F43" i="39"/>
  <c r="F58" i="39"/>
  <c r="G56" i="39"/>
  <c r="D51" i="39"/>
  <c r="E49" i="39"/>
  <c r="L41" i="37" l="1"/>
  <c r="K43" i="37"/>
  <c r="M63" i="39"/>
  <c r="M65" i="39" s="1"/>
  <c r="N65" i="39" s="1"/>
  <c r="G56" i="42"/>
  <c r="F58" i="42"/>
  <c r="F45" i="42"/>
  <c r="K49" i="42"/>
  <c r="J51" i="42"/>
  <c r="J63" i="42"/>
  <c r="I65" i="42"/>
  <c r="H49" i="41"/>
  <c r="H51" i="41" s="1"/>
  <c r="F45" i="41"/>
  <c r="E65" i="41"/>
  <c r="F63" i="41"/>
  <c r="E56" i="41"/>
  <c r="D58" i="41"/>
  <c r="F43" i="40"/>
  <c r="F37" i="40" s="1"/>
  <c r="F65" i="40"/>
  <c r="G63" i="40"/>
  <c r="F56" i="40"/>
  <c r="E58" i="40"/>
  <c r="J49" i="40"/>
  <c r="I51" i="40"/>
  <c r="F45" i="39"/>
  <c r="E51" i="39"/>
  <c r="F49" i="39"/>
  <c r="G58" i="39"/>
  <c r="H56" i="39"/>
  <c r="M41" i="37" l="1"/>
  <c r="M43" i="37" s="1"/>
  <c r="L43" i="37"/>
  <c r="I49" i="41"/>
  <c r="J49" i="41" s="1"/>
  <c r="H56" i="42"/>
  <c r="G58" i="42"/>
  <c r="K63" i="42"/>
  <c r="J65" i="42"/>
  <c r="L49" i="42"/>
  <c r="K51" i="42"/>
  <c r="G43" i="41"/>
  <c r="G37" i="41" s="1"/>
  <c r="F56" i="41"/>
  <c r="E58" i="41"/>
  <c r="F65" i="41"/>
  <c r="G63" i="41"/>
  <c r="H63" i="40"/>
  <c r="G65" i="40"/>
  <c r="K49" i="40"/>
  <c r="J51" i="40"/>
  <c r="G56" i="40"/>
  <c r="F58" i="40"/>
  <c r="F45" i="40"/>
  <c r="H58" i="39"/>
  <c r="I56" i="39"/>
  <c r="F51" i="39"/>
  <c r="G49" i="39"/>
  <c r="G43" i="39"/>
  <c r="N43" i="37" l="1"/>
  <c r="I51" i="41"/>
  <c r="L63" i="42"/>
  <c r="K65" i="42"/>
  <c r="I56" i="42"/>
  <c r="H58" i="42"/>
  <c r="G45" i="42"/>
  <c r="M49" i="42"/>
  <c r="M51" i="42" s="1"/>
  <c r="L51" i="42"/>
  <c r="G45" i="41"/>
  <c r="K49" i="41"/>
  <c r="J51" i="41"/>
  <c r="G56" i="41"/>
  <c r="F58" i="41"/>
  <c r="H63" i="41"/>
  <c r="G65" i="41"/>
  <c r="G43" i="40"/>
  <c r="G37" i="40" s="1"/>
  <c r="I63" i="40"/>
  <c r="H65" i="40"/>
  <c r="H56" i="40"/>
  <c r="G58" i="40"/>
  <c r="L49" i="40"/>
  <c r="K51" i="40"/>
  <c r="J56" i="39"/>
  <c r="I58" i="39"/>
  <c r="G45" i="39"/>
  <c r="H49" i="39"/>
  <c r="G51" i="39"/>
  <c r="J56" i="42" l="1"/>
  <c r="I58" i="42"/>
  <c r="M63" i="42"/>
  <c r="M65" i="42" s="1"/>
  <c r="L65" i="42"/>
  <c r="N51" i="42"/>
  <c r="I63" i="41"/>
  <c r="H65" i="41"/>
  <c r="H56" i="41"/>
  <c r="G58" i="41"/>
  <c r="H43" i="41"/>
  <c r="H37" i="41" s="1"/>
  <c r="L49" i="41"/>
  <c r="K51" i="41"/>
  <c r="H58" i="40"/>
  <c r="I56" i="40"/>
  <c r="M49" i="40"/>
  <c r="M51" i="40" s="1"/>
  <c r="L51" i="40"/>
  <c r="J63" i="40"/>
  <c r="I65" i="40"/>
  <c r="G45" i="40"/>
  <c r="H43" i="39"/>
  <c r="K56" i="39"/>
  <c r="J58" i="39"/>
  <c r="I49" i="39"/>
  <c r="H51" i="39"/>
  <c r="N65" i="42" l="1"/>
  <c r="K56" i="42"/>
  <c r="J58" i="42"/>
  <c r="H45" i="42"/>
  <c r="M49" i="41"/>
  <c r="M51" i="41" s="1"/>
  <c r="L51" i="41"/>
  <c r="H45" i="41"/>
  <c r="J63" i="41"/>
  <c r="I65" i="41"/>
  <c r="I56" i="41"/>
  <c r="H58" i="41"/>
  <c r="N51" i="40"/>
  <c r="H43" i="40"/>
  <c r="H37" i="40" s="1"/>
  <c r="K63" i="40"/>
  <c r="J65" i="40"/>
  <c r="J56" i="40"/>
  <c r="I58" i="40"/>
  <c r="L56" i="39"/>
  <c r="K58" i="39"/>
  <c r="H45" i="39"/>
  <c r="J49" i="39"/>
  <c r="I51" i="39"/>
  <c r="K58" i="42" l="1"/>
  <c r="L56" i="42"/>
  <c r="N51" i="41"/>
  <c r="I58" i="41"/>
  <c r="J56" i="41"/>
  <c r="K63" i="41"/>
  <c r="J65" i="41"/>
  <c r="I43" i="41"/>
  <c r="I37" i="41" s="1"/>
  <c r="L63" i="40"/>
  <c r="K65" i="40"/>
  <c r="K56" i="40"/>
  <c r="J58" i="40"/>
  <c r="H45" i="40"/>
  <c r="J51" i="39"/>
  <c r="K49" i="39"/>
  <c r="I43" i="39"/>
  <c r="M56" i="39"/>
  <c r="M58" i="39" s="1"/>
  <c r="L58" i="39"/>
  <c r="M56" i="42" l="1"/>
  <c r="M58" i="42" s="1"/>
  <c r="L58" i="42"/>
  <c r="I45" i="42"/>
  <c r="I45" i="41"/>
  <c r="L63" i="41"/>
  <c r="K65" i="41"/>
  <c r="K56" i="41"/>
  <c r="J58" i="41"/>
  <c r="I43" i="40"/>
  <c r="I37" i="40" s="1"/>
  <c r="K58" i="40"/>
  <c r="L56" i="40"/>
  <c r="M63" i="40"/>
  <c r="M65" i="40" s="1"/>
  <c r="L65" i="40"/>
  <c r="N58" i="39"/>
  <c r="I45" i="39"/>
  <c r="J43" i="39" s="1"/>
  <c r="K51" i="39"/>
  <c r="L49" i="39"/>
  <c r="J43" i="41" l="1"/>
  <c r="J43" i="42"/>
  <c r="J45" i="42" s="1"/>
  <c r="N58" i="42"/>
  <c r="K58" i="41"/>
  <c r="L56" i="41"/>
  <c r="L65" i="41"/>
  <c r="M63" i="41"/>
  <c r="M65" i="41" s="1"/>
  <c r="N65" i="40"/>
  <c r="M56" i="40"/>
  <c r="M58" i="40" s="1"/>
  <c r="L58" i="40"/>
  <c r="I45" i="40"/>
  <c r="J43" i="40" s="1"/>
  <c r="J37" i="40" s="1"/>
  <c r="M49" i="39"/>
  <c r="M51" i="39" s="1"/>
  <c r="L51" i="39"/>
  <c r="J45" i="39"/>
  <c r="K43" i="39" s="1"/>
  <c r="J45" i="41" l="1"/>
  <c r="J37" i="41"/>
  <c r="K43" i="41"/>
  <c r="K43" i="42"/>
  <c r="K45" i="42" s="1"/>
  <c r="N65" i="41"/>
  <c r="M56" i="41"/>
  <c r="M58" i="41" s="1"/>
  <c r="L58" i="41"/>
  <c r="J45" i="40"/>
  <c r="K43" i="40" s="1"/>
  <c r="K37" i="40" s="1"/>
  <c r="N58" i="40"/>
  <c r="K45" i="39"/>
  <c r="L43" i="39" s="1"/>
  <c r="N51" i="39"/>
  <c r="K45" i="41" l="1"/>
  <c r="K37" i="41"/>
  <c r="L43" i="41"/>
  <c r="L43" i="42"/>
  <c r="L45" i="42" s="1"/>
  <c r="N58" i="41"/>
  <c r="K45" i="40"/>
  <c r="L43" i="40" s="1"/>
  <c r="L37" i="40" s="1"/>
  <c r="L45" i="39"/>
  <c r="L45" i="41" l="1"/>
  <c r="M43" i="42" s="1"/>
  <c r="L37" i="41"/>
  <c r="M43" i="41"/>
  <c r="M37" i="41" s="1"/>
  <c r="N26" i="41"/>
  <c r="L45" i="40"/>
  <c r="M43" i="39"/>
  <c r="N26" i="39"/>
  <c r="N26" i="42" l="1"/>
  <c r="O25" i="41"/>
  <c r="N42" i="42"/>
  <c r="B42" i="42" s="1"/>
  <c r="O26" i="42"/>
  <c r="P26" i="42" s="1"/>
  <c r="M45" i="42"/>
  <c r="N43" i="42"/>
  <c r="N37" i="42" s="1"/>
  <c r="O26" i="41"/>
  <c r="P26" i="41" s="1"/>
  <c r="N42" i="41"/>
  <c r="B42" i="41" s="1"/>
  <c r="M45" i="41"/>
  <c r="N43" i="41"/>
  <c r="M43" i="40"/>
  <c r="M37" i="40" s="1"/>
  <c r="N26" i="40"/>
  <c r="O26" i="39"/>
  <c r="P26" i="39" s="1"/>
  <c r="N42" i="39"/>
  <c r="B42" i="39" s="1"/>
  <c r="M45" i="39"/>
  <c r="N43" i="39"/>
  <c r="P25" i="41" l="1"/>
  <c r="O37" i="41"/>
  <c r="N37" i="41"/>
  <c r="O45" i="42"/>
  <c r="N45" i="42"/>
  <c r="C42" i="42"/>
  <c r="B44" i="42"/>
  <c r="B39" i="42" s="1"/>
  <c r="O45" i="41"/>
  <c r="N45" i="41"/>
  <c r="C42" i="41"/>
  <c r="B44" i="41"/>
  <c r="O26" i="40"/>
  <c r="P26" i="40" s="1"/>
  <c r="N42" i="40"/>
  <c r="B42" i="40" s="1"/>
  <c r="M45" i="40"/>
  <c r="N43" i="40"/>
  <c r="O45" i="39"/>
  <c r="N45" i="39"/>
  <c r="B44" i="39"/>
  <c r="B39" i="39" s="1"/>
  <c r="C42" i="39"/>
  <c r="N37" i="40" l="1"/>
  <c r="D42" i="42"/>
  <c r="C44" i="42"/>
  <c r="C39" i="42" s="1"/>
  <c r="D42" i="41"/>
  <c r="C44" i="41"/>
  <c r="O45" i="40"/>
  <c r="N45" i="40"/>
  <c r="C42" i="40"/>
  <c r="B44" i="40"/>
  <c r="C44" i="39"/>
  <c r="C39" i="39" s="1"/>
  <c r="C35" i="39" s="1"/>
  <c r="D42" i="39"/>
  <c r="C37" i="39" l="1"/>
  <c r="E42" i="42"/>
  <c r="D44" i="42"/>
  <c r="D39" i="42" s="1"/>
  <c r="D44" i="41"/>
  <c r="E42" i="41"/>
  <c r="D42" i="40"/>
  <c r="C44" i="40"/>
  <c r="D44" i="39"/>
  <c r="D39" i="39" s="1"/>
  <c r="E42" i="39"/>
  <c r="D35" i="39" l="1"/>
  <c r="F42" i="42"/>
  <c r="E44" i="42"/>
  <c r="E39" i="42" s="1"/>
  <c r="F42" i="41"/>
  <c r="E44" i="41"/>
  <c r="D44" i="40"/>
  <c r="E42" i="40"/>
  <c r="F42" i="39"/>
  <c r="E44" i="39"/>
  <c r="E39" i="39" s="1"/>
  <c r="E25" i="39" l="1"/>
  <c r="D37" i="39"/>
  <c r="G42" i="42"/>
  <c r="F44" i="42"/>
  <c r="F39" i="42" s="1"/>
  <c r="G42" i="41"/>
  <c r="F44" i="41"/>
  <c r="F42" i="40"/>
  <c r="E44" i="40"/>
  <c r="G42" i="39"/>
  <c r="F44" i="39"/>
  <c r="F39" i="39" s="1"/>
  <c r="F25" i="39" s="1"/>
  <c r="F35" i="39" s="1"/>
  <c r="F37" i="39" l="1"/>
  <c r="E35" i="39"/>
  <c r="H42" i="42"/>
  <c r="G44" i="42"/>
  <c r="G39" i="42" s="1"/>
  <c r="H42" i="41"/>
  <c r="G44" i="41"/>
  <c r="G42" i="40"/>
  <c r="F44" i="40"/>
  <c r="H42" i="39"/>
  <c r="G44" i="39"/>
  <c r="G39" i="39" s="1"/>
  <c r="G25" i="39" s="1"/>
  <c r="G35" i="39" s="1"/>
  <c r="E37" i="39" l="1"/>
  <c r="G37" i="39"/>
  <c r="I42" i="42"/>
  <c r="H44" i="42"/>
  <c r="H39" i="42" s="1"/>
  <c r="I42" i="41"/>
  <c r="H44" i="41"/>
  <c r="H42" i="40"/>
  <c r="G44" i="40"/>
  <c r="I42" i="39"/>
  <c r="H44" i="39"/>
  <c r="H39" i="39" s="1"/>
  <c r="H25" i="39" s="1"/>
  <c r="H35" i="39" s="1"/>
  <c r="H37" i="39" l="1"/>
  <c r="J42" i="42"/>
  <c r="I44" i="42"/>
  <c r="I39" i="42" s="1"/>
  <c r="J42" i="41"/>
  <c r="I44" i="41"/>
  <c r="I42" i="40"/>
  <c r="H44" i="40"/>
  <c r="J42" i="39"/>
  <c r="I44" i="39"/>
  <c r="I39" i="39" s="1"/>
  <c r="I25" i="39" s="1"/>
  <c r="I35" i="39" s="1"/>
  <c r="I37" i="39" l="1"/>
  <c r="K42" i="42"/>
  <c r="J44" i="42"/>
  <c r="J39" i="42" s="1"/>
  <c r="K42" i="41"/>
  <c r="J44" i="41"/>
  <c r="J42" i="40"/>
  <c r="I44" i="40"/>
  <c r="K42" i="39"/>
  <c r="J44" i="39"/>
  <c r="J39" i="39" s="1"/>
  <c r="J25" i="39" s="1"/>
  <c r="J35" i="39" l="1"/>
  <c r="L42" i="42"/>
  <c r="K44" i="42"/>
  <c r="K39" i="42" s="1"/>
  <c r="L42" i="41"/>
  <c r="K44" i="41"/>
  <c r="K42" i="40"/>
  <c r="J44" i="40"/>
  <c r="L42" i="39"/>
  <c r="K44" i="39"/>
  <c r="K39" i="39" s="1"/>
  <c r="K25" i="39" s="1"/>
  <c r="K35" i="39" s="1"/>
  <c r="K37" i="39" l="1"/>
  <c r="J37" i="39"/>
  <c r="M42" i="42"/>
  <c r="M44" i="42" s="1"/>
  <c r="M39" i="42" s="1"/>
  <c r="L44" i="42"/>
  <c r="L39" i="42" s="1"/>
  <c r="M42" i="41"/>
  <c r="M44" i="41" s="1"/>
  <c r="L44" i="41"/>
  <c r="L42" i="40"/>
  <c r="K44" i="40"/>
  <c r="M42" i="39"/>
  <c r="M44" i="39" s="1"/>
  <c r="M39" i="39" s="1"/>
  <c r="L44" i="39"/>
  <c r="L39" i="39" s="1"/>
  <c r="L25" i="39" s="1"/>
  <c r="L35" i="39" s="1"/>
  <c r="L37" i="39" l="1"/>
  <c r="M25" i="39"/>
  <c r="N39" i="39"/>
  <c r="N39" i="42"/>
  <c r="N44" i="42"/>
  <c r="N44" i="41"/>
  <c r="M42" i="40"/>
  <c r="M44" i="40" s="1"/>
  <c r="L44" i="40"/>
  <c r="N44" i="39"/>
  <c r="M35" i="39" l="1"/>
  <c r="N25" i="39"/>
  <c r="N44" i="40"/>
  <c r="O25" i="39" l="1"/>
  <c r="N34" i="39"/>
  <c r="B34" i="39" s="1"/>
  <c r="M37" i="39"/>
  <c r="N35" i="39"/>
  <c r="M64" i="38"/>
  <c r="L64" i="38"/>
  <c r="K64" i="38"/>
  <c r="J64" i="38"/>
  <c r="I64" i="38"/>
  <c r="H64" i="38"/>
  <c r="G64" i="38"/>
  <c r="F64" i="38"/>
  <c r="E64" i="38"/>
  <c r="D64" i="38"/>
  <c r="C64" i="38"/>
  <c r="B64" i="38"/>
  <c r="M57" i="38"/>
  <c r="L57" i="38"/>
  <c r="K57" i="38"/>
  <c r="J57" i="38"/>
  <c r="I57" i="38"/>
  <c r="H57" i="38"/>
  <c r="G57" i="38"/>
  <c r="F57" i="38"/>
  <c r="E57" i="38"/>
  <c r="D57" i="38"/>
  <c r="C57" i="38"/>
  <c r="B57" i="38"/>
  <c r="M50" i="38"/>
  <c r="L50" i="38"/>
  <c r="K50" i="38"/>
  <c r="J50" i="38"/>
  <c r="I50" i="38"/>
  <c r="H50" i="38"/>
  <c r="G50" i="38"/>
  <c r="F50" i="38"/>
  <c r="E50" i="38"/>
  <c r="D50" i="38"/>
  <c r="C50" i="38"/>
  <c r="B50" i="38"/>
  <c r="D43" i="38"/>
  <c r="C43" i="38"/>
  <c r="B43" i="38"/>
  <c r="N29" i="38"/>
  <c r="N63" i="38" s="1"/>
  <c r="B63" i="38" s="1"/>
  <c r="N28" i="38"/>
  <c r="N27" i="38"/>
  <c r="P25" i="39" l="1"/>
  <c r="O37" i="39"/>
  <c r="N37" i="39"/>
  <c r="C34" i="39"/>
  <c r="B36" i="39"/>
  <c r="N49" i="38"/>
  <c r="B49" i="38" s="1"/>
  <c r="C49" i="38" s="1"/>
  <c r="D49" i="38" s="1"/>
  <c r="E49" i="38" s="1"/>
  <c r="O27" i="38"/>
  <c r="P27" i="38" s="1"/>
  <c r="N56" i="38"/>
  <c r="B56" i="38" s="1"/>
  <c r="C56" i="38" s="1"/>
  <c r="O28" i="38"/>
  <c r="P28" i="38" s="1"/>
  <c r="J59" i="38"/>
  <c r="K59" i="38"/>
  <c r="H52" i="38"/>
  <c r="C45" i="38"/>
  <c r="M52" i="38"/>
  <c r="L52" i="38"/>
  <c r="E52" i="38"/>
  <c r="D52" i="38"/>
  <c r="M59" i="38"/>
  <c r="L59" i="38"/>
  <c r="H59" i="38"/>
  <c r="G59" i="38"/>
  <c r="N64" i="38"/>
  <c r="B59" i="38"/>
  <c r="D45" i="38"/>
  <c r="E43" i="38" s="1"/>
  <c r="G52" i="38"/>
  <c r="C59" i="38"/>
  <c r="I52" i="38"/>
  <c r="N57" i="38"/>
  <c r="C63" i="38"/>
  <c r="B65" i="38"/>
  <c r="D59" i="38"/>
  <c r="J52" i="38"/>
  <c r="B45" i="38"/>
  <c r="C52" i="38"/>
  <c r="N50" i="38"/>
  <c r="B52" i="38"/>
  <c r="E59" i="38"/>
  <c r="K52" i="38"/>
  <c r="F59" i="38"/>
  <c r="F52" i="38"/>
  <c r="I59" i="38"/>
  <c r="D34" i="39" l="1"/>
  <c r="C36" i="39"/>
  <c r="B58" i="38"/>
  <c r="C51" i="38"/>
  <c r="D51" i="38"/>
  <c r="B51" i="38"/>
  <c r="O59" i="38"/>
  <c r="N59" i="38"/>
  <c r="E45" i="38"/>
  <c r="D56" i="38"/>
  <c r="C58" i="38"/>
  <c r="N52" i="38"/>
  <c r="O52" i="38"/>
  <c r="D63" i="38"/>
  <c r="C65" i="38"/>
  <c r="E51" i="38"/>
  <c r="F49" i="38"/>
  <c r="E34" i="39" l="1"/>
  <c r="D36" i="39"/>
  <c r="D65" i="38"/>
  <c r="E63" i="38"/>
  <c r="E56" i="38"/>
  <c r="D58" i="38"/>
  <c r="F43" i="38"/>
  <c r="F51" i="38"/>
  <c r="G49" i="38"/>
  <c r="F34" i="39" l="1"/>
  <c r="E36" i="39"/>
  <c r="E65" i="38"/>
  <c r="F63" i="38"/>
  <c r="G51" i="38"/>
  <c r="H49" i="38"/>
  <c r="F45" i="38"/>
  <c r="F56" i="38"/>
  <c r="E58" i="38"/>
  <c r="G34" i="39" l="1"/>
  <c r="F36" i="39"/>
  <c r="G56" i="38"/>
  <c r="F58" i="38"/>
  <c r="G43" i="38"/>
  <c r="F65" i="38"/>
  <c r="G63" i="38"/>
  <c r="H51" i="38"/>
  <c r="I49" i="38"/>
  <c r="C50" i="37"/>
  <c r="B50" i="37"/>
  <c r="B44" i="37" s="1"/>
  <c r="C57" i="37"/>
  <c r="D57" i="37"/>
  <c r="E57" i="37"/>
  <c r="F57" i="37"/>
  <c r="G57" i="37"/>
  <c r="H57" i="37"/>
  <c r="I57" i="37"/>
  <c r="J57" i="37"/>
  <c r="K57" i="37"/>
  <c r="L57" i="37"/>
  <c r="M57" i="37"/>
  <c r="B57" i="37"/>
  <c r="C64" i="37"/>
  <c r="D64" i="37"/>
  <c r="E64" i="37"/>
  <c r="F64" i="37"/>
  <c r="G64" i="37"/>
  <c r="H64" i="37"/>
  <c r="I64" i="37"/>
  <c r="J64" i="37"/>
  <c r="K64" i="37"/>
  <c r="L64" i="37"/>
  <c r="M64" i="37"/>
  <c r="B64" i="37"/>
  <c r="C71" i="37"/>
  <c r="D71" i="37"/>
  <c r="E71" i="37"/>
  <c r="F71" i="37"/>
  <c r="G71" i="37"/>
  <c r="H71" i="37"/>
  <c r="I71" i="37"/>
  <c r="J71" i="37"/>
  <c r="K71" i="37"/>
  <c r="L71" i="37"/>
  <c r="M71" i="37"/>
  <c r="B71" i="37"/>
  <c r="N36" i="37"/>
  <c r="J33" i="37"/>
  <c r="N33" i="37" s="1"/>
  <c r="N29" i="37"/>
  <c r="N70" i="37" s="1"/>
  <c r="B70" i="37" s="1"/>
  <c r="C70" i="37" s="1"/>
  <c r="I66" i="37" l="1"/>
  <c r="H34" i="39"/>
  <c r="G36" i="39"/>
  <c r="J66" i="37"/>
  <c r="B66" i="37"/>
  <c r="C52" i="37"/>
  <c r="D50" i="37" s="1"/>
  <c r="D44" i="37" s="1"/>
  <c r="C44" i="37"/>
  <c r="H66" i="37"/>
  <c r="G66" i="37"/>
  <c r="J59" i="37"/>
  <c r="M66" i="37"/>
  <c r="E66" i="37"/>
  <c r="I59" i="37"/>
  <c r="L59" i="37"/>
  <c r="D66" i="37"/>
  <c r="H59" i="37"/>
  <c r="K59" i="37"/>
  <c r="C66" i="37"/>
  <c r="G59" i="37"/>
  <c r="F66" i="37"/>
  <c r="B52" i="37"/>
  <c r="F59" i="37"/>
  <c r="B59" i="37"/>
  <c r="M59" i="37"/>
  <c r="E59" i="37"/>
  <c r="G45" i="38"/>
  <c r="H56" i="38"/>
  <c r="G58" i="38"/>
  <c r="J49" i="38"/>
  <c r="I51" i="38"/>
  <c r="H63" i="38"/>
  <c r="G65" i="38"/>
  <c r="C59" i="37"/>
  <c r="K66" i="37"/>
  <c r="D59" i="37"/>
  <c r="L66" i="37"/>
  <c r="D70" i="37"/>
  <c r="E70" i="37" s="1"/>
  <c r="F70" i="37" s="1"/>
  <c r="G70" i="37" s="1"/>
  <c r="G72" i="37" s="1"/>
  <c r="C72" i="37"/>
  <c r="N71" i="37"/>
  <c r="N57" i="37"/>
  <c r="N64" i="37"/>
  <c r="B72" i="37"/>
  <c r="N28" i="37"/>
  <c r="N27" i="37"/>
  <c r="D52" i="37" l="1"/>
  <c r="E50" i="37" s="1"/>
  <c r="I34" i="39"/>
  <c r="H36" i="39"/>
  <c r="E52" i="37"/>
  <c r="F50" i="37" s="1"/>
  <c r="E44" i="37"/>
  <c r="D72" i="37"/>
  <c r="N63" i="37"/>
  <c r="B63" i="37" s="1"/>
  <c r="C63" i="37" s="1"/>
  <c r="D63" i="37" s="1"/>
  <c r="D65" i="37" s="1"/>
  <c r="O28" i="37"/>
  <c r="P28" i="37" s="1"/>
  <c r="N56" i="37"/>
  <c r="B56" i="37" s="1"/>
  <c r="B58" i="37" s="1"/>
  <c r="O27" i="37"/>
  <c r="P27" i="37" s="1"/>
  <c r="H43" i="38"/>
  <c r="H58" i="38"/>
  <c r="I56" i="38"/>
  <c r="I63" i="38"/>
  <c r="H65" i="38"/>
  <c r="K49" i="38"/>
  <c r="J51" i="38"/>
  <c r="O66" i="37"/>
  <c r="N66" i="37"/>
  <c r="O59" i="37"/>
  <c r="N59" i="37"/>
  <c r="E72" i="37"/>
  <c r="F72" i="37"/>
  <c r="H70" i="37"/>
  <c r="H72" i="37" s="1"/>
  <c r="I70" i="37" l="1"/>
  <c r="J34" i="39"/>
  <c r="I36" i="39"/>
  <c r="F52" i="37"/>
  <c r="G50" i="37" s="1"/>
  <c r="F44" i="37"/>
  <c r="C56" i="37"/>
  <c r="C58" i="37" s="1"/>
  <c r="B65" i="37"/>
  <c r="E63" i="37"/>
  <c r="F63" i="37" s="1"/>
  <c r="C65" i="37"/>
  <c r="J63" i="38"/>
  <c r="I65" i="38"/>
  <c r="H45" i="38"/>
  <c r="L49" i="38"/>
  <c r="K51" i="38"/>
  <c r="I58" i="38"/>
  <c r="J56" i="38"/>
  <c r="J70" i="37"/>
  <c r="I72" i="37"/>
  <c r="E65" i="37" l="1"/>
  <c r="K34" i="39"/>
  <c r="J36" i="39"/>
  <c r="D56" i="37"/>
  <c r="D58" i="37" s="1"/>
  <c r="G44" i="37"/>
  <c r="G52" i="37"/>
  <c r="H50" i="37" s="1"/>
  <c r="M49" i="38"/>
  <c r="M51" i="38" s="1"/>
  <c r="L51" i="38"/>
  <c r="I43" i="38"/>
  <c r="K56" i="38"/>
  <c r="J58" i="38"/>
  <c r="K63" i="38"/>
  <c r="J65" i="38"/>
  <c r="E56" i="37"/>
  <c r="E58" i="37" s="1"/>
  <c r="K70" i="37"/>
  <c r="J72" i="37"/>
  <c r="G63" i="37"/>
  <c r="F65" i="37"/>
  <c r="L34" i="39" l="1"/>
  <c r="K36" i="39"/>
  <c r="H44" i="37"/>
  <c r="H52" i="37"/>
  <c r="F56" i="37"/>
  <c r="F58" i="37" s="1"/>
  <c r="I45" i="38"/>
  <c r="J43" i="38" s="1"/>
  <c r="K65" i="38"/>
  <c r="L63" i="38"/>
  <c r="L56" i="38"/>
  <c r="K58" i="38"/>
  <c r="N51" i="38"/>
  <c r="L70" i="37"/>
  <c r="K72" i="37"/>
  <c r="G65" i="37"/>
  <c r="H63" i="37"/>
  <c r="M34" i="39" l="1"/>
  <c r="M36" i="39" s="1"/>
  <c r="L36" i="39"/>
  <c r="G56" i="37"/>
  <c r="H56" i="37" s="1"/>
  <c r="I56" i="37" s="1"/>
  <c r="J45" i="38"/>
  <c r="K43" i="38" s="1"/>
  <c r="M56" i="38"/>
  <c r="M58" i="38" s="1"/>
  <c r="L58" i="38"/>
  <c r="L65" i="38"/>
  <c r="M63" i="38"/>
  <c r="M65" i="38" s="1"/>
  <c r="L72" i="37"/>
  <c r="M70" i="37"/>
  <c r="M72" i="37" s="1"/>
  <c r="N72" i="37" s="1"/>
  <c r="I63" i="37"/>
  <c r="H65" i="37"/>
  <c r="N36" i="39" l="1"/>
  <c r="G58" i="37"/>
  <c r="H58" i="37"/>
  <c r="N65" i="38"/>
  <c r="K45" i="38"/>
  <c r="L43" i="38" s="1"/>
  <c r="N58" i="38"/>
  <c r="J56" i="37"/>
  <c r="I58" i="37"/>
  <c r="J63" i="37"/>
  <c r="I65" i="37"/>
  <c r="L45" i="38" l="1"/>
  <c r="J58" i="37"/>
  <c r="K56" i="37"/>
  <c r="K63" i="37"/>
  <c r="J65" i="37"/>
  <c r="M43" i="38" l="1"/>
  <c r="N26" i="38"/>
  <c r="K58" i="37"/>
  <c r="L56" i="37"/>
  <c r="L63" i="37"/>
  <c r="K65" i="37"/>
  <c r="N42" i="38" l="1"/>
  <c r="B42" i="38" s="1"/>
  <c r="C42" i="38" s="1"/>
  <c r="O26" i="38"/>
  <c r="P26" i="38" s="1"/>
  <c r="M45" i="38"/>
  <c r="N43" i="38"/>
  <c r="L58" i="37"/>
  <c r="M56" i="37"/>
  <c r="M58" i="37" s="1"/>
  <c r="M63" i="37"/>
  <c r="M65" i="37" s="1"/>
  <c r="L65" i="37"/>
  <c r="B44" i="38" l="1"/>
  <c r="B39" i="38" s="1"/>
  <c r="N58" i="37"/>
  <c r="O45" i="38"/>
  <c r="N45" i="38"/>
  <c r="D42" i="38"/>
  <c r="C44" i="38"/>
  <c r="C39" i="38" s="1"/>
  <c r="C25" i="42" s="1"/>
  <c r="N65" i="37"/>
  <c r="C35" i="38" l="1"/>
  <c r="D44" i="38"/>
  <c r="D39" i="38" s="1"/>
  <c r="E42" i="38"/>
  <c r="D35" i="38" l="1"/>
  <c r="D36" i="38" s="1"/>
  <c r="D25" i="42"/>
  <c r="C36" i="38"/>
  <c r="C37" i="38"/>
  <c r="F42" i="38"/>
  <c r="E44" i="38"/>
  <c r="E39" i="38" s="1"/>
  <c r="E25" i="38" s="1"/>
  <c r="D37" i="38" l="1"/>
  <c r="E35" i="38"/>
  <c r="E25" i="42"/>
  <c r="E37" i="38"/>
  <c r="E36" i="38"/>
  <c r="G42" i="38"/>
  <c r="F44" i="38"/>
  <c r="F39" i="38" s="1"/>
  <c r="F25" i="38" s="1"/>
  <c r="F25" i="42" s="1"/>
  <c r="O26" i="20"/>
  <c r="P50" i="20" s="1"/>
  <c r="F35" i="38" l="1"/>
  <c r="H42" i="38"/>
  <c r="G44" i="38"/>
  <c r="G39" i="38" s="1"/>
  <c r="G25" i="38" s="1"/>
  <c r="G35" i="38" l="1"/>
  <c r="G25" i="42"/>
  <c r="G36" i="38"/>
  <c r="G37" i="38"/>
  <c r="F37" i="38"/>
  <c r="F36" i="38"/>
  <c r="I42" i="38"/>
  <c r="H44" i="38"/>
  <c r="H39" i="38" s="1"/>
  <c r="H25" i="38" s="1"/>
  <c r="O31" i="36"/>
  <c r="O35" i="36"/>
  <c r="O34" i="36"/>
  <c r="N32" i="36"/>
  <c r="N36" i="36" s="1"/>
  <c r="O30" i="36"/>
  <c r="O29" i="36"/>
  <c r="O28" i="36"/>
  <c r="O27" i="36"/>
  <c r="H35" i="38" l="1"/>
  <c r="H25" i="42"/>
  <c r="H36" i="38"/>
  <c r="H37" i="38"/>
  <c r="J42" i="38"/>
  <c r="I44" i="38"/>
  <c r="I39" i="38" s="1"/>
  <c r="I25" i="38" s="1"/>
  <c r="O32" i="36"/>
  <c r="I35" i="38" l="1"/>
  <c r="I25" i="42"/>
  <c r="I36" i="38"/>
  <c r="I37" i="38"/>
  <c r="K42" i="38"/>
  <c r="J44" i="38"/>
  <c r="J39" i="38" s="1"/>
  <c r="J25" i="38" s="1"/>
  <c r="O36" i="36"/>
  <c r="P31" i="36"/>
  <c r="P27" i="36"/>
  <c r="P30" i="36"/>
  <c r="P29" i="36"/>
  <c r="P28" i="36"/>
  <c r="J35" i="38" l="1"/>
  <c r="J25" i="42"/>
  <c r="J36" i="38"/>
  <c r="J37" i="38"/>
  <c r="L42" i="38"/>
  <c r="K44" i="38"/>
  <c r="K39" i="38" s="1"/>
  <c r="K25" i="38" s="1"/>
  <c r="P32" i="36"/>
  <c r="K35" i="38" l="1"/>
  <c r="K25" i="42"/>
  <c r="K37" i="38"/>
  <c r="K36" i="38"/>
  <c r="M42" i="38"/>
  <c r="M44" i="38" s="1"/>
  <c r="M39" i="38" s="1"/>
  <c r="L44" i="38"/>
  <c r="L39" i="38" s="1"/>
  <c r="L25" i="38" s="1"/>
  <c r="C26" i="34"/>
  <c r="L35" i="38" l="1"/>
  <c r="L25" i="42"/>
  <c r="M25" i="38"/>
  <c r="M25" i="42" s="1"/>
  <c r="N39" i="38"/>
  <c r="L36" i="38"/>
  <c r="L37" i="38"/>
  <c r="N44" i="38"/>
  <c r="C28" i="34"/>
  <c r="C29" i="34"/>
  <c r="M35" i="38" l="1"/>
  <c r="N25" i="38"/>
  <c r="C30" i="34"/>
  <c r="M37" i="38" l="1"/>
  <c r="M36" i="38"/>
  <c r="N36" i="38" s="1"/>
  <c r="N35" i="38"/>
  <c r="N37" i="38" s="1"/>
  <c r="O25" i="38"/>
  <c r="N34" i="38"/>
  <c r="B34" i="38" s="1"/>
  <c r="C34" i="38" s="1"/>
  <c r="D34" i="38" s="1"/>
  <c r="E34" i="38" s="1"/>
  <c r="F34" i="38" s="1"/>
  <c r="G34" i="38" s="1"/>
  <c r="H34" i="38" s="1"/>
  <c r="I34" i="38" s="1"/>
  <c r="J34" i="38" s="1"/>
  <c r="K34" i="38" s="1"/>
  <c r="L34" i="38" s="1"/>
  <c r="M34" i="38" s="1"/>
  <c r="C27" i="34"/>
  <c r="F26" i="34" s="1"/>
  <c r="P25" i="38" l="1"/>
  <c r="O37" i="38"/>
  <c r="C24" i="26"/>
  <c r="C23" i="26"/>
  <c r="C21" i="26"/>
  <c r="D27" i="34" l="1"/>
  <c r="D28" i="34"/>
  <c r="D29" i="34"/>
  <c r="D30" i="34"/>
  <c r="D26" i="34"/>
  <c r="C31" i="34"/>
  <c r="C33" i="34" s="1"/>
  <c r="B31" i="34"/>
  <c r="B33" i="34" s="1"/>
  <c r="G26" i="34" l="1"/>
  <c r="D33" i="34"/>
  <c r="D31" i="34"/>
  <c r="E31" i="34" s="1"/>
  <c r="C25" i="26" l="1"/>
  <c r="C27" i="26" s="1"/>
  <c r="B25" i="26"/>
  <c r="B27" i="26" s="1"/>
  <c r="D24" i="26"/>
  <c r="D23" i="26"/>
  <c r="D21" i="26"/>
  <c r="D25" i="26" l="1"/>
  <c r="E25" i="26" s="1"/>
  <c r="D27" i="26"/>
  <c r="N32" i="22" l="1"/>
  <c r="N30" i="20"/>
  <c r="O32" i="22" l="1"/>
  <c r="P30" i="22" s="1"/>
  <c r="O30" i="20"/>
  <c r="O34" i="20" s="1"/>
  <c r="N34" i="20"/>
  <c r="N36" i="22"/>
  <c r="I50" i="37" l="1"/>
  <c r="I44" i="37" s="1"/>
  <c r="P29" i="22"/>
  <c r="P31" i="22"/>
  <c r="O36" i="22"/>
  <c r="P27" i="22"/>
  <c r="P28" i="22"/>
  <c r="I83" i="37" l="1"/>
  <c r="I52" i="37"/>
  <c r="P32" i="22"/>
  <c r="J50" i="37" l="1"/>
  <c r="J44" i="37" s="1"/>
  <c r="J83" i="37" l="1"/>
  <c r="J52" i="37"/>
  <c r="K50" i="37" l="1"/>
  <c r="K44" i="37" s="1"/>
  <c r="K83" i="37" l="1"/>
  <c r="K52" i="37"/>
  <c r="L50" i="37" l="1"/>
  <c r="L44" i="37" s="1"/>
  <c r="L52" i="37" l="1"/>
  <c r="L83" i="37"/>
  <c r="M50" i="37" l="1"/>
  <c r="M44" i="37" s="1"/>
  <c r="N26" i="37"/>
  <c r="O25" i="37" s="1"/>
  <c r="P25" i="37" s="1"/>
  <c r="N49" i="37" l="1"/>
  <c r="B49" i="37" s="1"/>
  <c r="C49" i="37" s="1"/>
  <c r="O26" i="37"/>
  <c r="P26" i="37" s="1"/>
  <c r="M83" i="37"/>
  <c r="N83" i="37" s="1"/>
  <c r="B84" i="37" s="1"/>
  <c r="M52" i="37"/>
  <c r="N50" i="37"/>
  <c r="O44" i="37" l="1"/>
  <c r="N44" i="37"/>
  <c r="B51" i="37"/>
  <c r="C51" i="37"/>
  <c r="D49" i="37"/>
  <c r="O52" i="37"/>
  <c r="N52" i="37"/>
  <c r="B85" i="37"/>
  <c r="C84" i="37"/>
  <c r="D84" i="37" l="1"/>
  <c r="C85" i="37"/>
  <c r="E49" i="37"/>
  <c r="D51" i="37"/>
  <c r="F49" i="37" l="1"/>
  <c r="E51" i="37"/>
  <c r="E84" i="37"/>
  <c r="D85" i="37"/>
  <c r="F84" i="37" l="1"/>
  <c r="E85" i="37"/>
  <c r="G49" i="37"/>
  <c r="F51" i="37"/>
  <c r="F85" i="37" l="1"/>
  <c r="G84" i="37"/>
  <c r="G51" i="37"/>
  <c r="H49" i="37"/>
  <c r="H84" i="37" l="1"/>
  <c r="G85" i="37"/>
  <c r="H51" i="37"/>
  <c r="I49" i="37"/>
  <c r="J49" i="37" l="1"/>
  <c r="I51" i="37"/>
  <c r="H85" i="37"/>
  <c r="I84" i="37"/>
  <c r="J84" i="37" l="1"/>
  <c r="I85" i="37"/>
  <c r="K49" i="37"/>
  <c r="J51" i="37"/>
  <c r="L49" i="37" l="1"/>
  <c r="K51" i="37"/>
  <c r="K84" i="37"/>
  <c r="J85" i="37"/>
  <c r="L84" i="37" l="1"/>
  <c r="K85" i="37"/>
  <c r="M49" i="37"/>
  <c r="M51" i="37" s="1"/>
  <c r="L51" i="37"/>
  <c r="N51" i="37" l="1"/>
  <c r="M84" i="37"/>
  <c r="M85" i="37" s="1"/>
  <c r="L85" i="37"/>
  <c r="N85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B20" authorId="0" shapeId="0" xr:uid="{2E5A0D48-0D91-48E4-8B01-6357BE58617B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Formula from "Ridership" Tab</t>
        </r>
      </text>
    </comment>
    <comment ref="C20" authorId="0" shapeId="0" xr:uid="{4A7AD77D-01EA-4D66-A1DF-3133334329F4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Formula from "Ridership" Tab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A25" authorId="0" shapeId="0" xr:uid="{F1485B1E-6B55-4060-8EC9-542B3176EAAE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24-25"</t>
        </r>
      </text>
    </comment>
    <comment ref="A26" authorId="0" shapeId="0" xr:uid="{B03DC101-0975-4A7A-A115-9F72A60241BA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23-24"</t>
        </r>
      </text>
    </comment>
    <comment ref="M26" authorId="0" shapeId="0" xr:uid="{72B62CD9-2DF0-4C40-AE84-9311C06F6F65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</t>
        </r>
      </text>
    </comment>
    <comment ref="A27" authorId="0" shapeId="0" xr:uid="{B82D32E7-9E47-46DA-A847-78F20D65CF3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22-23"</t>
        </r>
      </text>
    </comment>
    <comment ref="K27" authorId="0" shapeId="0" xr:uid="{60E98889-1D23-4B2A-9D58-310938928C34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Sunshine Park service began 4/3/2023</t>
        </r>
      </text>
    </comment>
    <comment ref="A28" authorId="0" shapeId="0" xr:uid="{09DC0D14-B6B9-4A9A-8609-B25FF9A17004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21-22"</t>
        </r>
      </text>
    </comment>
    <comment ref="B28" authorId="0" shapeId="0" xr:uid="{512336B5-D3DA-48E7-9FEB-2C192CE20EC4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7C525240-D649-4180-82BF-345AA69FA484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A29" authorId="0" shapeId="0" xr:uid="{1DC97E1E-2A96-42DB-9C42-0C9CB4BBEBA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20-21"</t>
        </r>
      </text>
    </comment>
    <comment ref="J29" authorId="0" shapeId="0" xr:uid="{E450B076-D0D0-41FB-A427-5C6A0F10527F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**Note Only:  Red/Green Saturday Service Started - 3/6/2021 **Saturday Service numbers are not included in this information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A25" authorId="0" shapeId="0" xr:uid="{0E16BDB5-A36C-4067-88F9-8A97193FB83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24-25"</t>
        </r>
      </text>
    </comment>
    <comment ref="A26" authorId="0" shapeId="0" xr:uid="{2DCB0197-0815-44CF-9036-0C899F27A5CB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23-24"</t>
        </r>
      </text>
    </comment>
    <comment ref="M26" authorId="0" shapeId="0" xr:uid="{6505F5BC-7801-46D4-97CB-47CA4F2AD23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</t>
        </r>
      </text>
    </comment>
    <comment ref="A27" authorId="0" shapeId="0" xr:uid="{EF84BDEC-6DDD-4B11-A259-54BBC6B2FD4E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22-23"</t>
        </r>
      </text>
    </comment>
    <comment ref="K27" authorId="0" shapeId="0" xr:uid="{BB9A8A62-A51A-4FED-8F19-1AA96A546A43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Sunshine Park Service began 4/3/2023</t>
        </r>
      </text>
    </comment>
    <comment ref="A28" authorId="0" shapeId="0" xr:uid="{64AAECB9-1C1F-4853-92BB-AEB4EA384DC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21-22"</t>
        </r>
      </text>
    </comment>
    <comment ref="B28" authorId="0" shapeId="0" xr:uid="{731A1F7E-4889-4F64-A6A5-D07EC08555D6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0682B836-D0CE-40BA-BA59-3D0C2E8FA3E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A29" authorId="0" shapeId="0" xr:uid="{292FA929-C466-485D-A3EE-B253AB05E4F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20-21"</t>
        </r>
      </text>
    </comment>
    <comment ref="J29" authorId="0" shapeId="0" xr:uid="{CCF6A7B6-0CA8-4E71-912C-47B44F29479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**Note Only:  Red/Green Saturday Service Started - 3/6/2021 **Saturday Service numbers are not included in this information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A25" authorId="0" shapeId="0" xr:uid="{CB2EE1FD-13E1-43C3-AF20-EA4040E2BF9D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24-25"</t>
        </r>
      </text>
    </comment>
    <comment ref="A26" authorId="0" shapeId="0" xr:uid="{E158145B-EB01-4BF6-B46F-0A951D6539CF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23-24"</t>
        </r>
      </text>
    </comment>
    <comment ref="M26" authorId="0" shapeId="0" xr:uid="{E10793C2-843C-48D1-8A91-6C7E73D55D9A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</t>
        </r>
      </text>
    </comment>
    <comment ref="A27" authorId="0" shapeId="0" xr:uid="{96757307-CD36-4CF5-812C-E4BDF8B845EF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22-23"</t>
        </r>
      </text>
    </comment>
    <comment ref="K27" authorId="0" shapeId="0" xr:uid="{D422175B-6410-47B0-8824-60C4D6F4C66F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Sunshine Park Service began 4/3/2023</t>
        </r>
      </text>
    </comment>
    <comment ref="A28" authorId="0" shapeId="0" xr:uid="{69E6520A-A320-4D19-A43F-EB76D29C0465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21-22"</t>
        </r>
      </text>
    </comment>
    <comment ref="B28" authorId="0" shapeId="0" xr:uid="{81C9F54D-3744-4EF9-8D21-76FF8E028DC1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1106263A-4204-4117-ABAE-4DF4164A1AD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A29" authorId="0" shapeId="0" xr:uid="{CB492A4B-EFB1-4148-9BA1-C1714C326B6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Red-Green Only "RB 20-21"</t>
        </r>
      </text>
    </comment>
    <comment ref="J29" authorId="0" shapeId="0" xr:uid="{12D864FA-9C35-460B-B3CF-E6F0F08684F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**Note Only:  Red/Green Saturday Service Started - 3/6/2021 **Saturday Service numbers are not included in this information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M26" authorId="0" shapeId="0" xr:uid="{88E24221-01E5-406D-AD0D-836B59276457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 (5/13/2024)</t>
        </r>
      </text>
    </comment>
    <comment ref="K27" authorId="0" shapeId="0" xr:uid="{6F3C238C-26F8-4156-AFAD-42213326CF3D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Roseburg Sunshine Park Service began 4/3/2023</t>
        </r>
      </text>
    </comment>
    <comment ref="B28" authorId="0" shapeId="0" xr:uid="{19E8D558-C9D3-4949-980A-1083E2A6FE56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913C8724-434C-488B-BEE1-7B524679DE9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J29" authorId="0" shapeId="0" xr:uid="{4AE09FCC-C606-4160-869F-749FC93573C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**Note Only:  Red/Green Saturday Service Started - 3/6/2021 **Saturday Service numbers are not included in this information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M26" authorId="0" shapeId="0" xr:uid="{C31627AA-94B4-4D54-915E-3ED4AE393853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 - (5/13/2024)</t>
        </r>
      </text>
    </comment>
    <comment ref="K27" authorId="0" shapeId="0" xr:uid="{6E851DE3-5589-469B-AB60-9CD2079AF043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Roseburg Sunshine Park Service began 4/3/2023</t>
        </r>
      </text>
    </comment>
    <comment ref="B28" authorId="0" shapeId="0" xr:uid="{F64AE33C-843F-483A-A479-3844B3759975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C2594D10-4F66-4DEF-9A12-681454269E01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J29" authorId="0" shapeId="0" xr:uid="{E4BC54A9-480E-4DC5-B9AB-1405F1AD2472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**Note Only:  Red/Green Saturday Service Started - 3/6/2021 **Saturday Service numbers are not included in this information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M26" authorId="0" shapeId="0" xr:uid="{DF6652E0-3407-4BCD-A70A-0472B2A26191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Transitioned fixed route back to Roseburg only, and Winston/Sutherlin back to Commuter only routes - some routes were adjusted during low ridership runs</t>
        </r>
      </text>
    </comment>
    <comment ref="K27" authorId="0" shapeId="0" xr:uid="{D387D954-D398-4EA9-8C8E-60C5927E5333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Sunshine Park Serivce began 4/3/2023</t>
        </r>
      </text>
    </comment>
    <comment ref="B28" authorId="0" shapeId="0" xr:uid="{B4CC6FF2-85C8-4614-8372-8DB751E67D0E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28" authorId="0" shapeId="0" xr:uid="{43B4672B-3DF9-4F42-A7AC-3C9FD43091B7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J29" authorId="0" shapeId="0" xr:uid="{E03477BB-AFB2-4217-A30E-2395B98E1A51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Saturday Service Started - 3/6/2021</t>
        </r>
      </text>
    </comment>
    <comment ref="J33" authorId="0" shapeId="0" xr:uid="{C31E637B-D648-4DC1-91AD-A9838480A8FC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COVID </t>
        </r>
      </text>
    </comment>
    <comment ref="A36" authorId="0" shapeId="0" xr:uid="{A2768C5E-DC4F-4602-9367-55163EAB5828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How many rides we provide each month as a percentage of the total rides for the year
Trending from 2008 to current</t>
        </r>
      </text>
    </comment>
    <comment ref="K76" authorId="0" shapeId="0" xr:uid="{1175D94B-FDC8-406D-9B14-84FB858F1337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Sunshine Park Service began on 4/3/2023</t>
        </r>
      </text>
    </comment>
    <comment ref="B77" authorId="0" shapeId="0" xr:uid="{CF2C732C-A2CE-4D39-8263-5ED870F8F68D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Expansion Started - 7/1/2021</t>
        </r>
      </text>
    </comment>
    <comment ref="J77" authorId="0" shapeId="0" xr:uid="{4BD241B8-CBAC-4A75-A0CD-64269C872B00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Winston/Sutherlin Transition - 3/7/2022</t>
        </r>
      </text>
    </comment>
    <comment ref="J78" authorId="0" shapeId="0" xr:uid="{881D0AF8-2405-4826-B6D2-CC0A2F6A9775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Red/Green Saturday Service Started - 3/6/2021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Crystal Hall</author>
  </authors>
  <commentList>
    <comment ref="B25" authorId="0" shapeId="0" xr:uid="{F6A77BCA-6264-4865-8024-5E43BEE8E348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Formula from "Umpqua Rides" Tab</t>
        </r>
      </text>
    </comment>
    <comment ref="C25" authorId="0" shapeId="0" xr:uid="{E3C62CAB-018C-4644-BE92-0978DF5ABF69}">
      <text>
        <r>
          <rPr>
            <b/>
            <sz val="9"/>
            <color indexed="81"/>
            <rFont val="Tahoma"/>
            <family val="2"/>
          </rPr>
          <t>Crystal Hall:</t>
        </r>
        <r>
          <rPr>
            <sz val="9"/>
            <color indexed="81"/>
            <rFont val="Tahoma"/>
            <family val="2"/>
          </rPr>
          <t xml:space="preserve">
Formula from "Umpqua Rides" Tab</t>
        </r>
      </text>
    </comment>
  </commentList>
</comments>
</file>

<file path=xl/sharedStrings.xml><?xml version="1.0" encoding="utf-8"?>
<sst xmlns="http://schemas.openxmlformats.org/spreadsheetml/2006/main" count="1285" uniqueCount="188">
  <si>
    <t>Roseburg Fixed Route</t>
  </si>
  <si>
    <t>South County Commuter</t>
  </si>
  <si>
    <t>Total RiderShip</t>
  </si>
  <si>
    <t>Total Rides</t>
  </si>
  <si>
    <t>Monthly Performance</t>
  </si>
  <si>
    <t>Reedsport</t>
  </si>
  <si>
    <t>Mercy Express</t>
  </si>
  <si>
    <t>%</t>
  </si>
  <si>
    <t>QTR 2</t>
  </si>
  <si>
    <t>QTR 1</t>
  </si>
  <si>
    <t>QTR 4</t>
  </si>
  <si>
    <t>Umpqua Rides</t>
  </si>
  <si>
    <t>Ridership Comparison</t>
  </si>
  <si>
    <t>Rides/RSH</t>
  </si>
  <si>
    <t>20-21</t>
  </si>
  <si>
    <t>Monthly Stats</t>
  </si>
  <si>
    <t>UPTD ParaTransit</t>
  </si>
  <si>
    <t>Total RSH</t>
  </si>
  <si>
    <t>Total RSM</t>
  </si>
  <si>
    <t>UPTD - Umpqua Rides</t>
  </si>
  <si>
    <t>UPTD Yearly Ridership by Month</t>
  </si>
  <si>
    <t>Yearly Ridership by Month - Umpqua Rides</t>
  </si>
  <si>
    <t>Total Revenue Service Hours</t>
  </si>
  <si>
    <t>Total Revenue Service Miles</t>
  </si>
  <si>
    <t>Rides/Revenue Service Hour</t>
  </si>
  <si>
    <t>Difference</t>
  </si>
  <si>
    <t>QTR 3</t>
  </si>
  <si>
    <t>March</t>
  </si>
  <si>
    <t>Saturday Service</t>
  </si>
  <si>
    <t>Ridership</t>
  </si>
  <si>
    <t>Saturday Services provided 8:15am - 6:30pm.  Schedule Details can be found on our Website.</t>
  </si>
  <si>
    <t>21-22</t>
  </si>
  <si>
    <t>Mercy Paratransit</t>
  </si>
  <si>
    <t>Increase over last year</t>
  </si>
  <si>
    <t>22-23</t>
  </si>
  <si>
    <t>Sunshine Park</t>
  </si>
  <si>
    <t>Sunshine Park Service - Roseburg</t>
  </si>
  <si>
    <t>Service Started on 4/3/2023</t>
  </si>
  <si>
    <t>PART 1:  Demand Response</t>
  </si>
  <si>
    <t>PART 2:  10:45 - 11:05</t>
  </si>
  <si>
    <t>PART 3:  2:45 - 3:05</t>
  </si>
  <si>
    <t>PART 4:  7:05 - 7:15</t>
  </si>
  <si>
    <t xml:space="preserve">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</si>
  <si>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</si>
  <si>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</si>
  <si>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</si>
  <si>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</si>
  <si>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</si>
  <si>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</si>
  <si>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</si>
  <si>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</si>
  <si>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</si>
  <si>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May</t>
  </si>
  <si>
    <t>June</t>
  </si>
  <si>
    <t>Year End Total</t>
  </si>
  <si>
    <t>FY 21-22 service versus 20-21</t>
  </si>
  <si>
    <t>Rides</t>
  </si>
  <si>
    <t>COVID</t>
  </si>
  <si>
    <t xml:space="preserve">Pre COVID </t>
  </si>
  <si>
    <t>19-20</t>
  </si>
  <si>
    <t>Historical Monthly Trend</t>
  </si>
  <si>
    <t>23-24</t>
  </si>
  <si>
    <t xml:space="preserve">Transit Ridership Comparison </t>
  </si>
  <si>
    <t>Trending</t>
  </si>
  <si>
    <t>FY 22-23 service versus 21-22</t>
  </si>
  <si>
    <t>Month %</t>
  </si>
  <si>
    <t>YR Rides</t>
  </si>
  <si>
    <t>Month Rides</t>
  </si>
  <si>
    <t>Starting Point:  FY 20-21</t>
  </si>
  <si>
    <t>Increase</t>
  </si>
  <si>
    <t>SEP-23</t>
  </si>
  <si>
    <t>**UPTD began Saturday Service on Roseburg Routes in March of 2021.  Here is a look at the last 13 Months.</t>
  </si>
  <si>
    <t>13 Months</t>
  </si>
  <si>
    <t>% increase</t>
  </si>
  <si>
    <t>Redline/Greenline Roseburg Service Expansion Performance</t>
  </si>
  <si>
    <t>Blueline Sutherlin Service Expansion Performance</t>
  </si>
  <si>
    <t>Greyline Winston Service Expansion Performance</t>
  </si>
  <si>
    <t>12 Months</t>
  </si>
  <si>
    <t># Rides</t>
  </si>
  <si>
    <t>Starting Point:  FY 21-22</t>
  </si>
  <si>
    <t>Redline/Greenline Roseburg Service Expansion Performance - % of Rides During Expanded Hours only</t>
  </si>
  <si>
    <t>OCT-23</t>
  </si>
  <si>
    <t>NOV-23</t>
  </si>
  <si>
    <t>Part 1:  Rides - DR</t>
  </si>
  <si>
    <t>Part 2: Rides - MB</t>
  </si>
  <si>
    <t>Part 3:  Rides - MB</t>
  </si>
  <si>
    <t>Part 4:  Rides - MB</t>
  </si>
  <si>
    <t>Part 1:  RSH - DR</t>
  </si>
  <si>
    <t>Part 2: RSH - MB</t>
  </si>
  <si>
    <t>Part 3:  RSH - MB</t>
  </si>
  <si>
    <t>Part 4:  RSH - MB</t>
  </si>
  <si>
    <t>Part 1:  RSM - DR</t>
  </si>
  <si>
    <t>Part 2: RSM - MB</t>
  </si>
  <si>
    <t>Part 3:  RSM - MB</t>
  </si>
  <si>
    <t>Part 4:  RSM - MB</t>
  </si>
  <si>
    <t>Total</t>
  </si>
  <si>
    <t>SP - Rides</t>
  </si>
  <si>
    <t>SP - Miles</t>
  </si>
  <si>
    <t>SP - Hours</t>
  </si>
  <si>
    <t>** SP History</t>
  </si>
  <si>
    <t>SoCo Commuter</t>
  </si>
  <si>
    <t>**</t>
  </si>
  <si>
    <t>Hide</t>
  </si>
  <si>
    <t>SP - DR</t>
  </si>
  <si>
    <t>DEC-23</t>
  </si>
  <si>
    <t>UPTD - MTM</t>
  </si>
  <si>
    <t>UPTD - Bay Cities</t>
  </si>
  <si>
    <t>Volunteers</t>
  </si>
  <si>
    <t>Leon</t>
  </si>
  <si>
    <t>Debbie</t>
  </si>
  <si>
    <t>Diana</t>
  </si>
  <si>
    <t>Rides/Driver</t>
  </si>
  <si>
    <t>Miles/Driver</t>
  </si>
  <si>
    <t>Hours/Driver</t>
  </si>
  <si>
    <t>Medical Transportation</t>
  </si>
  <si>
    <t>Winston Fixed Route</t>
  </si>
  <si>
    <t>Sutherlin Fixed Route</t>
  </si>
  <si>
    <t>JAN-24</t>
  </si>
  <si>
    <t>Redline/Greenline Roseburg Service (M-F) Performance</t>
  </si>
  <si>
    <t>UPTD (BCB) - RSH</t>
  </si>
  <si>
    <t>UPTD (BCB) - RSM</t>
  </si>
  <si>
    <t>Fiona</t>
  </si>
  <si>
    <t>Tracy</t>
  </si>
  <si>
    <t>Casey</t>
  </si>
  <si>
    <t>FEB-24</t>
  </si>
  <si>
    <t>Step 1</t>
  </si>
  <si>
    <t>Unhide all extra lines in entire workbook</t>
  </si>
  <si>
    <t>Step 2</t>
  </si>
  <si>
    <t>Complete Sunshine Park Tab</t>
  </si>
  <si>
    <t>Step 3</t>
  </si>
  <si>
    <t>Rename tabs that reflect reporting Month</t>
  </si>
  <si>
    <t>Update all Chart Titles to reflect current reporting information</t>
  </si>
  <si>
    <t>Medical Transportation Tab</t>
  </si>
  <si>
    <t>Step 4</t>
  </si>
  <si>
    <t>Step 5</t>
  </si>
  <si>
    <t>Umpqua Rides Tab</t>
  </si>
  <si>
    <t>ready - formula based, no data entry required</t>
  </si>
  <si>
    <t>Step 6</t>
  </si>
  <si>
    <t>Ridership Tab</t>
  </si>
  <si>
    <t>Step 7</t>
  </si>
  <si>
    <t>input Saturday numbers</t>
  </si>
  <si>
    <t>Step 8</t>
  </si>
  <si>
    <t>Red-Green</t>
  </si>
  <si>
    <t>Step 9</t>
  </si>
  <si>
    <t>Expansion</t>
  </si>
  <si>
    <t>Step 10</t>
  </si>
  <si>
    <t>Expansion %</t>
  </si>
  <si>
    <t>Step 11</t>
  </si>
  <si>
    <t>Sutherlin</t>
  </si>
  <si>
    <t>Step 12</t>
  </si>
  <si>
    <t>Winston</t>
  </si>
  <si>
    <t>Step 13</t>
  </si>
  <si>
    <t>Yearly Comparison</t>
  </si>
  <si>
    <t>ready - formula based, no data entry required, check yellow boxes for accuracy</t>
  </si>
  <si>
    <t>Step 14</t>
  </si>
  <si>
    <t>Final overview and proof read, hide any rows that are meant to be hidden</t>
  </si>
  <si>
    <t>MAR-24</t>
  </si>
  <si>
    <t>FY End 20-21</t>
  </si>
  <si>
    <t>FY End 21-22</t>
  </si>
  <si>
    <t>FY End 22-23</t>
  </si>
  <si>
    <t>Sharon/Joy</t>
  </si>
  <si>
    <t>APR-24</t>
  </si>
  <si>
    <t>MAY-24</t>
  </si>
  <si>
    <t>Winston Commuter</t>
  </si>
  <si>
    <t>Sutherlin Commuter</t>
  </si>
  <si>
    <t>Nate</t>
  </si>
  <si>
    <t>JUN-24</t>
  </si>
  <si>
    <t>BLANK 1</t>
  </si>
  <si>
    <t>BLANK 2</t>
  </si>
  <si>
    <t># Check</t>
  </si>
  <si>
    <t>FY to Date 24-25</t>
  </si>
  <si>
    <t>24-25</t>
  </si>
  <si>
    <t>FY End 23-24</t>
  </si>
  <si>
    <t>FY 23-24 service versus 22-23</t>
  </si>
  <si>
    <t>FY 24-25 service versus 23-24 - Numbers highlighted in Yellow are Projected based on current trends</t>
  </si>
  <si>
    <t>FY 20-21, 21-22, 22-23, 23-24, and 24-25 to date</t>
  </si>
  <si>
    <t>JUL-24</t>
  </si>
  <si>
    <t>Done</t>
  </si>
  <si>
    <t>UR-Month Tab - update Year to date ridership formula/total</t>
  </si>
  <si>
    <t>Month Tab - update Year to date ridership formula/total</t>
  </si>
  <si>
    <t>Projected</t>
  </si>
  <si>
    <t>Projected YR</t>
  </si>
  <si>
    <t>AUG-24</t>
  </si>
  <si>
    <t>13 Month Rolling Ridership (September 2023 thru September 2024)</t>
  </si>
  <si>
    <t>September 2023 vs September 2024 UPTD Ridership</t>
  </si>
  <si>
    <t>September 2023 vs September 2024 UPTD Demand Response</t>
  </si>
  <si>
    <t>SEP-24</t>
  </si>
  <si>
    <t>Oct 23 - Sept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</si>
</sst>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ahoma"/>
      <family val="2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/>
    <xf numFmtId="43" fontId="4" fillId="0" borderId="0" applyFont="0" applyFill="0" applyBorder="0" applyAlignment="0" applyProtection="0"/>
  </cellStyleXfs>
  <cellXfs count="237">
    <xf numFmtId="0" fontId="0" fillId="0" borderId="0" xfId="0"/>
    <xf numFmtId="3" fontId="0" fillId="0" borderId="0" xfId="0" applyNumberForma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9" fontId="1" fillId="0" borderId="0" xfId="0" applyNumberFormat="1" applyFont="1" applyAlignment="1">
      <alignment horizontal="center" vertical="center"/>
    </xf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4" borderId="3" xfId="0" applyNumberFormat="1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10" fontId="0" fillId="0" borderId="11" xfId="0" applyNumberForma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" fontId="0" fillId="0" borderId="20" xfId="0" applyNumberFormat="1" applyBorder="1" applyAlignment="1">
      <alignment horizontal="center" vertical="center"/>
    </xf>
    <xf numFmtId="3" fontId="0" fillId="0" borderId="16" xfId="0" applyNumberFormat="1" applyBorder="1" applyAlignment="1">
      <alignment horizontal="center" vertical="center"/>
    </xf>
    <xf numFmtId="3" fontId="0" fillId="0" borderId="17" xfId="0" applyNumberFormat="1" applyBorder="1" applyAlignment="1">
      <alignment horizontal="center" vertical="center"/>
    </xf>
    <xf numFmtId="3" fontId="0" fillId="0" borderId="20" xfId="0" applyNumberFormat="1" applyBorder="1" applyAlignment="1">
      <alignment horizontal="center" vertical="center"/>
    </xf>
    <xf numFmtId="0" fontId="0" fillId="0" borderId="19" xfId="0" applyBorder="1"/>
    <xf numFmtId="49" fontId="2" fillId="0" borderId="19" xfId="0" applyNumberFormat="1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9" fontId="1" fillId="0" borderId="19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49" fontId="6" fillId="2" borderId="20" xfId="0" applyNumberFormat="1" applyFont="1" applyFill="1" applyBorder="1" applyAlignment="1">
      <alignment horizontal="center" vertical="center" wrapText="1"/>
    </xf>
    <xf numFmtId="49" fontId="1" fillId="3" borderId="20" xfId="0" applyNumberFormat="1" applyFont="1" applyFill="1" applyBorder="1" applyAlignment="1">
      <alignment horizontal="center" vertical="center" wrapText="1"/>
    </xf>
    <xf numFmtId="49" fontId="1" fillId="4" borderId="22" xfId="0" applyNumberFormat="1" applyFont="1" applyFill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 wrapText="1"/>
    </xf>
    <xf numFmtId="3" fontId="0" fillId="0" borderId="23" xfId="0" applyNumberFormat="1" applyBorder="1" applyAlignment="1">
      <alignment horizontal="right" vertical="center"/>
    </xf>
    <xf numFmtId="49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 wrapText="1"/>
    </xf>
    <xf numFmtId="3" fontId="1" fillId="0" borderId="21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3" fontId="0" fillId="6" borderId="20" xfId="0" applyNumberFormat="1" applyFill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3" fontId="1" fillId="0" borderId="25" xfId="0" applyNumberFormat="1" applyFont="1" applyBorder="1" applyAlignment="1">
      <alignment horizontal="center" vertical="center"/>
    </xf>
    <xf numFmtId="3" fontId="1" fillId="0" borderId="26" xfId="0" applyNumberFormat="1" applyFont="1" applyBorder="1" applyAlignment="1">
      <alignment horizontal="center" vertical="center"/>
    </xf>
    <xf numFmtId="3" fontId="1" fillId="0" borderId="27" xfId="0" applyNumberFormat="1" applyFont="1" applyBorder="1" applyAlignment="1">
      <alignment horizontal="center" vertical="center"/>
    </xf>
    <xf numFmtId="4" fontId="1" fillId="0" borderId="25" xfId="0" applyNumberFormat="1" applyFont="1" applyBorder="1" applyAlignment="1">
      <alignment horizontal="center" vertical="center"/>
    </xf>
    <xf numFmtId="3" fontId="1" fillId="6" borderId="21" xfId="0" applyNumberFormat="1" applyFont="1" applyFill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9" fontId="1" fillId="0" borderId="8" xfId="0" applyNumberFormat="1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49" fontId="6" fillId="8" borderId="20" xfId="0" applyNumberFormat="1" applyFont="1" applyFill="1" applyBorder="1" applyAlignment="1">
      <alignment horizontal="center" vertical="center" wrapText="1"/>
    </xf>
    <xf numFmtId="49" fontId="1" fillId="8" borderId="20" xfId="0" applyNumberFormat="1" applyFont="1" applyFill="1" applyBorder="1" applyAlignment="1">
      <alignment horizontal="center" vertical="center" wrapText="1"/>
    </xf>
    <xf numFmtId="49" fontId="6" fillId="7" borderId="1" xfId="0" applyNumberFormat="1" applyFont="1" applyFill="1" applyBorder="1" applyAlignment="1">
      <alignment horizontal="center" vertical="center" wrapText="1"/>
    </xf>
    <xf numFmtId="3" fontId="0" fillId="5" borderId="1" xfId="0" applyNumberFormat="1" applyFill="1" applyBorder="1" applyAlignment="1">
      <alignment horizontal="center" vertical="center"/>
    </xf>
    <xf numFmtId="3" fontId="0" fillId="5" borderId="20" xfId="0" applyNumberFormat="1" applyFill="1" applyBorder="1" applyAlignment="1">
      <alignment horizontal="center" vertical="center"/>
    </xf>
    <xf numFmtId="3" fontId="0" fillId="9" borderId="0" xfId="0" applyNumberFormat="1" applyFill="1" applyAlignment="1">
      <alignment horizontal="center" vertical="center"/>
    </xf>
    <xf numFmtId="3" fontId="0" fillId="5" borderId="0" xfId="0" applyNumberFormat="1" applyFill="1" applyAlignment="1">
      <alignment horizontal="center" vertical="center"/>
    </xf>
    <xf numFmtId="49" fontId="14" fillId="10" borderId="2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6" fillId="0" borderId="20" xfId="0" applyNumberFormat="1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4" fontId="16" fillId="0" borderId="20" xfId="0" applyNumberFormat="1" applyFont="1" applyBorder="1" applyAlignment="1">
      <alignment horizontal="center" vertical="center"/>
    </xf>
    <xf numFmtId="3" fontId="16" fillId="6" borderId="20" xfId="0" applyNumberFormat="1" applyFont="1" applyFill="1" applyBorder="1" applyAlignment="1">
      <alignment horizontal="center" vertical="center"/>
    </xf>
    <xf numFmtId="3" fontId="16" fillId="6" borderId="22" xfId="0" applyNumberFormat="1" applyFont="1" applyFill="1" applyBorder="1" applyAlignment="1">
      <alignment horizontal="center" vertical="center"/>
    </xf>
    <xf numFmtId="3" fontId="16" fillId="6" borderId="21" xfId="0" applyNumberFormat="1" applyFont="1" applyFill="1" applyBorder="1" applyAlignment="1">
      <alignment horizontal="center" vertical="center"/>
    </xf>
    <xf numFmtId="3" fontId="16" fillId="6" borderId="4" xfId="0" applyNumberFormat="1" applyFont="1" applyFill="1" applyBorder="1" applyAlignment="1">
      <alignment horizontal="center" vertical="center"/>
    </xf>
    <xf numFmtId="4" fontId="16" fillId="6" borderId="20" xfId="0" applyNumberFormat="1" applyFont="1" applyFill="1" applyBorder="1" applyAlignment="1">
      <alignment horizontal="center" vertical="center"/>
    </xf>
    <xf numFmtId="3" fontId="16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right" wrapText="1"/>
    </xf>
    <xf numFmtId="3" fontId="0" fillId="0" borderId="0" xfId="0" applyNumberFormat="1" applyAlignment="1">
      <alignment vertical="top" wrapText="1"/>
    </xf>
    <xf numFmtId="9" fontId="1" fillId="11" borderId="33" xfId="0" applyNumberFormat="1" applyFont="1" applyFill="1" applyBorder="1" applyAlignment="1">
      <alignment horizontal="center" vertical="center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3" fontId="0" fillId="6" borderId="4" xfId="0" applyNumberFormat="1" applyFill="1" applyBorder="1" applyAlignment="1">
      <alignment horizontal="center" vertical="center"/>
    </xf>
    <xf numFmtId="4" fontId="0" fillId="6" borderId="20" xfId="0" applyNumberFormat="1" applyFill="1" applyBorder="1" applyAlignment="1">
      <alignment horizontal="center" vertical="center"/>
    </xf>
    <xf numFmtId="3" fontId="0" fillId="7" borderId="20" xfId="0" applyNumberForma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0" fontId="18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20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left" vertical="top" wrapText="1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8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/>
    </xf>
    <xf numFmtId="3" fontId="0" fillId="12" borderId="0" xfId="0" applyNumberFormat="1" applyFill="1" applyAlignment="1">
      <alignment horizontal="center" vertical="center"/>
    </xf>
    <xf numFmtId="49" fontId="1" fillId="13" borderId="0" xfId="0" applyNumberFormat="1" applyFont="1" applyFill="1" applyAlignment="1">
      <alignment horizontal="center" vertical="center"/>
    </xf>
    <xf numFmtId="3" fontId="0" fillId="13" borderId="0" xfId="0" applyNumberFormat="1" applyFill="1" applyAlignment="1">
      <alignment horizontal="center" vertical="center"/>
    </xf>
    <xf numFmtId="49" fontId="17" fillId="12" borderId="0" xfId="0" applyNumberFormat="1" applyFont="1" applyFill="1" applyAlignment="1">
      <alignment horizontal="left" vertical="center"/>
    </xf>
    <xf numFmtId="3" fontId="0" fillId="14" borderId="0" xfId="0" applyNumberFormat="1" applyFill="1" applyAlignment="1">
      <alignment horizontal="center" vertical="center"/>
    </xf>
    <xf numFmtId="3" fontId="0" fillId="15" borderId="0" xfId="0" applyNumberFormat="1" applyFill="1" applyAlignment="1">
      <alignment horizontal="center" vertical="center"/>
    </xf>
    <xf numFmtId="10" fontId="0" fillId="14" borderId="0" xfId="0" applyNumberFormat="1" applyFill="1" applyAlignment="1">
      <alignment horizontal="center" vertical="center"/>
    </xf>
    <xf numFmtId="10" fontId="0" fillId="9" borderId="0" xfId="0" applyNumberFormat="1" applyFill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center" vertical="center"/>
    </xf>
    <xf numFmtId="49" fontId="19" fillId="0" borderId="30" xfId="0" applyNumberFormat="1" applyFont="1" applyBorder="1" applyAlignment="1">
      <alignment horizontal="center" vertical="center"/>
    </xf>
    <xf numFmtId="3" fontId="0" fillId="0" borderId="34" xfId="0" applyNumberFormat="1" applyBorder="1" applyAlignment="1">
      <alignment horizontal="center" vertical="center"/>
    </xf>
    <xf numFmtId="10" fontId="18" fillId="0" borderId="29" xfId="0" applyNumberFormat="1" applyFont="1" applyBorder="1" applyAlignment="1">
      <alignment horizontal="center" vertical="center"/>
    </xf>
    <xf numFmtId="3" fontId="0" fillId="0" borderId="35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2" fillId="5" borderId="0" xfId="0" applyNumberFormat="1" applyFont="1" applyFill="1" applyAlignment="1">
      <alignment horizontal="center" vertical="center"/>
    </xf>
    <xf numFmtId="3" fontId="1" fillId="5" borderId="0" xfId="0" applyNumberFormat="1" applyFont="1" applyFill="1" applyAlignment="1">
      <alignment horizontal="center" vertical="center"/>
    </xf>
    <xf numFmtId="10" fontId="0" fillId="0" borderId="29" xfId="0" applyNumberFormat="1" applyBorder="1" applyAlignment="1">
      <alignment horizontal="center" vertical="center"/>
    </xf>
    <xf numFmtId="4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49" fontId="1" fillId="0" borderId="37" xfId="0" applyNumberFormat="1" applyFont="1" applyBorder="1" applyAlignment="1">
      <alignment horizontal="center" vertical="center" wrapText="1"/>
    </xf>
    <xf numFmtId="4" fontId="16" fillId="0" borderId="35" xfId="0" applyNumberFormat="1" applyFont="1" applyBorder="1" applyAlignment="1">
      <alignment horizontal="center" vertical="center"/>
    </xf>
    <xf numFmtId="4" fontId="16" fillId="6" borderId="35" xfId="0" applyNumberFormat="1" applyFont="1" applyFill="1" applyBorder="1" applyAlignment="1">
      <alignment horizontal="center" vertical="center"/>
    </xf>
    <xf numFmtId="4" fontId="1" fillId="0" borderId="38" xfId="0" applyNumberFormat="1" applyFont="1" applyBorder="1" applyAlignment="1">
      <alignment horizontal="center" vertical="center"/>
    </xf>
    <xf numFmtId="49" fontId="6" fillId="16" borderId="39" xfId="0" applyNumberFormat="1" applyFont="1" applyFill="1" applyBorder="1" applyAlignment="1">
      <alignment horizontal="center" vertical="center" wrapText="1"/>
    </xf>
    <xf numFmtId="3" fontId="16" fillId="16" borderId="40" xfId="0" applyNumberFormat="1" applyFont="1" applyFill="1" applyBorder="1" applyAlignment="1">
      <alignment horizontal="center" vertical="center"/>
    </xf>
    <xf numFmtId="3" fontId="1" fillId="16" borderId="41" xfId="0" applyNumberFormat="1" applyFont="1" applyFill="1" applyBorder="1" applyAlignment="1">
      <alignment horizontal="center" vertical="center"/>
    </xf>
    <xf numFmtId="0" fontId="0" fillId="16" borderId="0" xfId="0" applyFill="1"/>
    <xf numFmtId="2" fontId="0" fillId="16" borderId="0" xfId="0" applyNumberFormat="1" applyFill="1"/>
    <xf numFmtId="0" fontId="0" fillId="16" borderId="0" xfId="0" applyFill="1" applyAlignment="1">
      <alignment vertical="center"/>
    </xf>
    <xf numFmtId="0" fontId="0" fillId="16" borderId="0" xfId="0" applyFill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2" fontId="0" fillId="6" borderId="20" xfId="0" applyNumberFormat="1" applyFill="1" applyBorder="1" applyAlignment="1">
      <alignment horizontal="center" vertical="center"/>
    </xf>
    <xf numFmtId="2" fontId="0" fillId="6" borderId="22" xfId="0" applyNumberFormat="1" applyFill="1" applyBorder="1" applyAlignment="1">
      <alignment horizontal="center" vertical="center"/>
    </xf>
    <xf numFmtId="2" fontId="0" fillId="6" borderId="21" xfId="0" applyNumberForma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3" fontId="0" fillId="5" borderId="3" xfId="0" applyNumberFormat="1" applyFill="1" applyBorder="1" applyAlignment="1">
      <alignment horizontal="center" vertical="center"/>
    </xf>
    <xf numFmtId="4" fontId="0" fillId="0" borderId="25" xfId="0" applyNumberFormat="1" applyBorder="1" applyAlignment="1">
      <alignment horizontal="center" vertical="center"/>
    </xf>
    <xf numFmtId="4" fontId="0" fillId="5" borderId="1" xfId="0" applyNumberFormat="1" applyFill="1" applyBorder="1" applyAlignment="1">
      <alignment horizontal="center" vertical="center"/>
    </xf>
    <xf numFmtId="4" fontId="0" fillId="5" borderId="3" xfId="0" applyNumberFormat="1" applyFill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9" fontId="6" fillId="7" borderId="20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1" xfId="0" applyNumberFormat="1" applyFill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4" fontId="0" fillId="6" borderId="1" xfId="0" applyNumberFormat="1" applyFill="1" applyBorder="1" applyAlignment="1">
      <alignment horizontal="center" vertical="center"/>
    </xf>
    <xf numFmtId="4" fontId="0" fillId="6" borderId="3" xfId="0" applyNumberFormat="1" applyFill="1" applyBorder="1" applyAlignment="1">
      <alignment horizontal="center" vertical="center"/>
    </xf>
    <xf numFmtId="4" fontId="0" fillId="6" borderId="2" xfId="0" applyNumberFormat="1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0" fontId="0" fillId="7" borderId="0" xfId="0" applyFill="1"/>
    <xf numFmtId="3" fontId="0" fillId="7" borderId="0" xfId="0" applyNumberFormat="1" applyFill="1"/>
    <xf numFmtId="10" fontId="0" fillId="0" borderId="0" xfId="0" applyNumberFormat="1"/>
    <xf numFmtId="0" fontId="0" fillId="7" borderId="0" xfId="0" applyFill="1" applyAlignment="1">
      <alignment horizontal="center" vertical="center"/>
    </xf>
    <xf numFmtId="3" fontId="0" fillId="7" borderId="0" xfId="0" applyNumberFormat="1" applyFill="1" applyAlignment="1">
      <alignment horizontal="center" vertical="center"/>
    </xf>
    <xf numFmtId="3" fontId="0" fillId="17" borderId="0" xfId="0" applyNumberFormat="1" applyFill="1" applyAlignment="1">
      <alignment horizontal="center" vertical="center"/>
    </xf>
    <xf numFmtId="0" fontId="18" fillId="0" borderId="0" xfId="0" applyFont="1"/>
    <xf numFmtId="10" fontId="0" fillId="17" borderId="0" xfId="0" applyNumberFormat="1" applyFill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 wrapText="1"/>
    </xf>
    <xf numFmtId="2" fontId="0" fillId="7" borderId="0" xfId="0" applyNumberFormat="1" applyFill="1"/>
    <xf numFmtId="2" fontId="0" fillId="6" borderId="1" xfId="0" applyNumberFormat="1" applyFill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1" fillId="12" borderId="0" xfId="0" applyNumberFormat="1" applyFont="1" applyFill="1" applyAlignment="1">
      <alignment horizontal="center" vertical="center"/>
    </xf>
    <xf numFmtId="3" fontId="0" fillId="2" borderId="0" xfId="0" applyNumberFormat="1" applyFill="1" applyAlignment="1">
      <alignment horizontal="center" vertical="center"/>
    </xf>
    <xf numFmtId="3" fontId="1" fillId="18" borderId="0" xfId="0" applyNumberFormat="1" applyFont="1" applyFill="1" applyAlignment="1">
      <alignment horizontal="center" vertical="center"/>
    </xf>
    <xf numFmtId="3" fontId="0" fillId="18" borderId="0" xfId="0" applyNumberFormat="1" applyFill="1" applyAlignment="1">
      <alignment horizontal="center" vertical="center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10" fontId="0" fillId="18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0" fontId="0" fillId="2" borderId="0" xfId="0" applyNumberFormat="1" applyFill="1" applyAlignment="1">
      <alignment horizontal="center" vertical="center"/>
    </xf>
    <xf numFmtId="3" fontId="0" fillId="0" borderId="0" xfId="0" applyNumberFormat="1" applyAlignment="1">
      <alignment horizontal="right" wrapText="1"/>
    </xf>
    <xf numFmtId="0" fontId="0" fillId="0" borderId="5" xfId="0" applyBorder="1" applyAlignment="1">
      <alignment horizontal="center" vertical="center"/>
    </xf>
    <xf numFmtId="0" fontId="18" fillId="19" borderId="0" xfId="0" applyFont="1" applyFill="1"/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3" fontId="13" fillId="0" borderId="31" xfId="0" applyNumberFormat="1" applyFont="1" applyBorder="1" applyAlignment="1">
      <alignment horizontal="center" vertical="center" wrapText="1"/>
    </xf>
    <xf numFmtId="3" fontId="13" fillId="0" borderId="32" xfId="0" applyNumberFormat="1" applyFont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6" borderId="6" xfId="0" applyNumberFormat="1" applyFill="1" applyBorder="1" applyAlignment="1">
      <alignment horizontal="center" vertical="center"/>
    </xf>
    <xf numFmtId="3" fontId="0" fillId="6" borderId="14" xfId="0" applyNumberFormat="1" applyFill="1" applyBorder="1" applyAlignment="1">
      <alignment horizontal="center" vertical="center"/>
    </xf>
    <xf numFmtId="0" fontId="11" fillId="0" borderId="31" xfId="0" applyFont="1" applyBorder="1" applyAlignment="1">
      <alignment horizontal="center" wrapText="1"/>
    </xf>
    <xf numFmtId="0" fontId="11" fillId="0" borderId="32" xfId="0" applyFont="1" applyBorder="1" applyAlignment="1">
      <alignment horizontal="center" wrapText="1"/>
    </xf>
    <xf numFmtId="3" fontId="0" fillId="0" borderId="42" xfId="0" applyNumberFormat="1" applyBorder="1" applyAlignment="1">
      <alignment horizontal="center" vertical="center"/>
    </xf>
    <xf numFmtId="3" fontId="0" fillId="0" borderId="44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 vertical="center" wrapText="1"/>
    </xf>
  </cellXfs>
  <cellStyles count="3">
    <cellStyle name="Comma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FF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Ridership!$A$26</c:f>
              <c:strCache>
                <c:ptCount val="1"/>
                <c:pt idx="0">
                  <c:v>Roseburg Fixed Route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Ridership!$B$25:$N$25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Ridership!$B$26:$N$26</c:f>
              <c:numCache>
                <c:formatCode>#,##0</c:formatCode>
                <c:ptCount val="13"/>
                <c:pt idx="0">
                  <c:v>5517</c:v>
                </c:pt>
                <c:pt idx="1">
                  <c:v>6342</c:v>
                </c:pt>
                <c:pt idx="2">
                  <c:v>5372</c:v>
                </c:pt>
                <c:pt idx="3">
                  <c:v>5854</c:v>
                </c:pt>
                <c:pt idx="4">
                  <c:v>6274</c:v>
                </c:pt>
                <c:pt idx="5">
                  <c:v>6484</c:v>
                </c:pt>
                <c:pt idx="6">
                  <c:v>6481</c:v>
                </c:pt>
                <c:pt idx="7">
                  <c:v>6813</c:v>
                </c:pt>
                <c:pt idx="8">
                  <c:v>6730</c:v>
                </c:pt>
                <c:pt idx="9">
                  <c:v>6118</c:v>
                </c:pt>
                <c:pt idx="10">
                  <c:v>6180</c:v>
                </c:pt>
                <c:pt idx="11">
                  <c:v>6655</c:v>
                </c:pt>
                <c:pt idx="12">
                  <c:v>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ADE-9FED-34BF9BBB7B81}"/>
            </c:ext>
          </c:extLst>
        </c:ser>
        <c:ser>
          <c:idx val="1"/>
          <c:order val="1"/>
          <c:tx>
            <c:strRef>
              <c:f>Ridership!$A$27</c:f>
              <c:strCache>
                <c:ptCount val="1"/>
                <c:pt idx="0">
                  <c:v>Winston Fixed Route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bg1">
                  <a:lumMod val="65000"/>
                </a:schemeClr>
              </a:solidFill>
            </a:ln>
            <a:effectLst/>
          </c:spPr>
          <c:invertIfNegative val="0"/>
          <c:cat>
            <c:strRef>
              <c:f>Ridership!$B$25:$N$25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Ridership!$B$27:$N$27</c:f>
              <c:numCache>
                <c:formatCode>#,##0</c:formatCode>
                <c:ptCount val="13"/>
                <c:pt idx="0">
                  <c:v>761</c:v>
                </c:pt>
                <c:pt idx="1">
                  <c:v>713</c:v>
                </c:pt>
                <c:pt idx="2">
                  <c:v>667</c:v>
                </c:pt>
                <c:pt idx="3">
                  <c:v>769</c:v>
                </c:pt>
                <c:pt idx="4">
                  <c:v>801</c:v>
                </c:pt>
                <c:pt idx="5">
                  <c:v>720</c:v>
                </c:pt>
                <c:pt idx="6">
                  <c:v>639</c:v>
                </c:pt>
                <c:pt idx="7">
                  <c:v>778</c:v>
                </c:pt>
                <c:pt idx="8">
                  <c:v>645</c:v>
                </c:pt>
                <c:pt idx="9">
                  <c:v>471</c:v>
                </c:pt>
                <c:pt idx="10">
                  <c:v>530</c:v>
                </c:pt>
                <c:pt idx="11">
                  <c:v>620</c:v>
                </c:pt>
                <c:pt idx="12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ADE-9FED-34BF9BBB7B81}"/>
            </c:ext>
          </c:extLst>
        </c:ser>
        <c:ser>
          <c:idx val="2"/>
          <c:order val="2"/>
          <c:tx>
            <c:strRef>
              <c:f>Ridership!$A$28</c:f>
              <c:strCache>
                <c:ptCount val="1"/>
                <c:pt idx="0">
                  <c:v>Sutherlin Fixed Route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Ridership!$B$25:$N$25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Ridership!$B$28:$N$28</c:f>
              <c:numCache>
                <c:formatCode>#,##0</c:formatCode>
                <c:ptCount val="13"/>
                <c:pt idx="0">
                  <c:v>512</c:v>
                </c:pt>
                <c:pt idx="1">
                  <c:v>568</c:v>
                </c:pt>
                <c:pt idx="2">
                  <c:v>593</c:v>
                </c:pt>
                <c:pt idx="3">
                  <c:v>512</c:v>
                </c:pt>
                <c:pt idx="4">
                  <c:v>664</c:v>
                </c:pt>
                <c:pt idx="5">
                  <c:v>636</c:v>
                </c:pt>
                <c:pt idx="6">
                  <c:v>568</c:v>
                </c:pt>
                <c:pt idx="7">
                  <c:v>659</c:v>
                </c:pt>
                <c:pt idx="8">
                  <c:v>567</c:v>
                </c:pt>
                <c:pt idx="9">
                  <c:v>472</c:v>
                </c:pt>
                <c:pt idx="10">
                  <c:v>475</c:v>
                </c:pt>
                <c:pt idx="11">
                  <c:v>467</c:v>
                </c:pt>
                <c:pt idx="12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ADE-9FED-34BF9BBB7B81}"/>
            </c:ext>
          </c:extLst>
        </c:ser>
        <c:ser>
          <c:idx val="3"/>
          <c:order val="3"/>
          <c:tx>
            <c:strRef>
              <c:f>Ridership!$A$29</c:f>
              <c:strCache>
                <c:ptCount val="1"/>
                <c:pt idx="0">
                  <c:v>South County Commuter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rgbClr val="7030A0"/>
              </a:solidFill>
            </a:ln>
            <a:effectLst/>
          </c:spPr>
          <c:invertIfNegative val="0"/>
          <c:cat>
            <c:strRef>
              <c:f>Ridership!$B$25:$N$25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Ridership!$B$29:$N$29</c:f>
              <c:numCache>
                <c:formatCode>#,##0</c:formatCode>
                <c:ptCount val="13"/>
                <c:pt idx="0">
                  <c:v>1250</c:v>
                </c:pt>
                <c:pt idx="1">
                  <c:v>1499</c:v>
                </c:pt>
                <c:pt idx="2">
                  <c:v>1349</c:v>
                </c:pt>
                <c:pt idx="3">
                  <c:v>1222</c:v>
                </c:pt>
                <c:pt idx="4">
                  <c:v>1642</c:v>
                </c:pt>
                <c:pt idx="5">
                  <c:v>1593</c:v>
                </c:pt>
                <c:pt idx="6">
                  <c:v>1300</c:v>
                </c:pt>
                <c:pt idx="7">
                  <c:v>1605</c:v>
                </c:pt>
                <c:pt idx="8">
                  <c:v>1542</c:v>
                </c:pt>
                <c:pt idx="9">
                  <c:v>1096</c:v>
                </c:pt>
                <c:pt idx="10">
                  <c:v>1105</c:v>
                </c:pt>
                <c:pt idx="11">
                  <c:v>1135</c:v>
                </c:pt>
                <c:pt idx="12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A-4549-949F-76D89C721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87210285155041E-2"/>
          <c:y val="0.89169529479224774"/>
          <c:w val="0.94180524044663905"/>
          <c:h val="7.4291090655924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Sutherlin!$A$25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Sutherlin!$B$24:$M$24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Sutherlin!$B$25:$M$25</c:f>
              <c:numCache>
                <c:formatCode>#,##0</c:formatCode>
                <c:ptCount val="12"/>
                <c:pt idx="0">
                  <c:v>475</c:v>
                </c:pt>
                <c:pt idx="1">
                  <c:v>467</c:v>
                </c:pt>
                <c:pt idx="2">
                  <c:v>509</c:v>
                </c:pt>
                <c:pt idx="3">
                  <c:v>754.36080000000004</c:v>
                </c:pt>
                <c:pt idx="4">
                  <c:v>787.56330000000003</c:v>
                </c:pt>
                <c:pt idx="5">
                  <c:v>679.98720000000003</c:v>
                </c:pt>
                <c:pt idx="6">
                  <c:v>881.85839999999996</c:v>
                </c:pt>
                <c:pt idx="7">
                  <c:v>844.67160000000013</c:v>
                </c:pt>
                <c:pt idx="8">
                  <c:v>754.36080000000004</c:v>
                </c:pt>
                <c:pt idx="9">
                  <c:v>875.21789999999999</c:v>
                </c:pt>
                <c:pt idx="10">
                  <c:v>753.03269999999998</c:v>
                </c:pt>
                <c:pt idx="11">
                  <c:v>626.86320000000001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53-4930-9207-0D3D3B177A77}"/>
            </c:ext>
          </c:extLst>
        </c:ser>
        <c:ser>
          <c:idx val="1"/>
          <c:order val="1"/>
          <c:tx>
            <c:strRef>
              <c:f>Sutherlin!$A$26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Sutherlin!$B$24:$M$24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Sutherlin!$B$26:$M$26</c:f>
              <c:numCache>
                <c:formatCode>#,##0</c:formatCode>
                <c:ptCount val="12"/>
                <c:pt idx="0">
                  <c:v>323</c:v>
                </c:pt>
                <c:pt idx="1">
                  <c:v>390</c:v>
                </c:pt>
                <c:pt idx="2">
                  <c:v>512</c:v>
                </c:pt>
                <c:pt idx="3">
                  <c:v>568</c:v>
                </c:pt>
                <c:pt idx="4">
                  <c:v>593</c:v>
                </c:pt>
                <c:pt idx="5">
                  <c:v>512</c:v>
                </c:pt>
                <c:pt idx="6">
                  <c:v>664</c:v>
                </c:pt>
                <c:pt idx="7">
                  <c:v>636</c:v>
                </c:pt>
                <c:pt idx="8">
                  <c:v>568</c:v>
                </c:pt>
                <c:pt idx="9">
                  <c:v>659</c:v>
                </c:pt>
                <c:pt idx="10">
                  <c:v>567</c:v>
                </c:pt>
                <c:pt idx="11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3-4930-9207-0D3D3B177A77}"/>
            </c:ext>
          </c:extLst>
        </c:ser>
        <c:ser>
          <c:idx val="2"/>
          <c:order val="2"/>
          <c:tx>
            <c:strRef>
              <c:f>Sutherlin!$A$27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Sutherlin!$B$24:$M$24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Sutherlin!$B$27:$M$27</c:f>
              <c:numCache>
                <c:formatCode>#,##0</c:formatCode>
                <c:ptCount val="12"/>
                <c:pt idx="0">
                  <c:v>364</c:v>
                </c:pt>
                <c:pt idx="1">
                  <c:v>480</c:v>
                </c:pt>
                <c:pt idx="2">
                  <c:v>455</c:v>
                </c:pt>
                <c:pt idx="3">
                  <c:v>556</c:v>
                </c:pt>
                <c:pt idx="4">
                  <c:v>475</c:v>
                </c:pt>
                <c:pt idx="5">
                  <c:v>408</c:v>
                </c:pt>
                <c:pt idx="6">
                  <c:v>352</c:v>
                </c:pt>
                <c:pt idx="7">
                  <c:v>242</c:v>
                </c:pt>
                <c:pt idx="8">
                  <c:v>380</c:v>
                </c:pt>
                <c:pt idx="9">
                  <c:v>336</c:v>
                </c:pt>
                <c:pt idx="10">
                  <c:v>405</c:v>
                </c:pt>
                <c:pt idx="11">
                  <c:v>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53-4930-9207-0D3D3B177A77}"/>
            </c:ext>
          </c:extLst>
        </c:ser>
        <c:ser>
          <c:idx val="3"/>
          <c:order val="3"/>
          <c:tx>
            <c:strRef>
              <c:f>Sutherlin!$A$28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Sutherlin!$B$24:$M$24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Sutherlin!$B$28:$M$28</c:f>
              <c:numCache>
                <c:formatCode>#,##0</c:formatCode>
                <c:ptCount val="12"/>
                <c:pt idx="0">
                  <c:v>125</c:v>
                </c:pt>
                <c:pt idx="1">
                  <c:v>123</c:v>
                </c:pt>
                <c:pt idx="2">
                  <c:v>113</c:v>
                </c:pt>
                <c:pt idx="3">
                  <c:v>142</c:v>
                </c:pt>
                <c:pt idx="4">
                  <c:v>125</c:v>
                </c:pt>
                <c:pt idx="5">
                  <c:v>169</c:v>
                </c:pt>
                <c:pt idx="6">
                  <c:v>154</c:v>
                </c:pt>
                <c:pt idx="7">
                  <c:v>116</c:v>
                </c:pt>
                <c:pt idx="8">
                  <c:v>285</c:v>
                </c:pt>
                <c:pt idx="9">
                  <c:v>336</c:v>
                </c:pt>
                <c:pt idx="10">
                  <c:v>342</c:v>
                </c:pt>
                <c:pt idx="11">
                  <c:v>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53-4930-9207-0D3D3B177A77}"/>
            </c:ext>
          </c:extLst>
        </c:ser>
        <c:ser>
          <c:idx val="4"/>
          <c:order val="4"/>
          <c:tx>
            <c:strRef>
              <c:f>Sutherlin!$A$29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Sutherlin!$B$24:$M$24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Sutherlin!$B$29:$M$29</c:f>
              <c:numCache>
                <c:formatCode>#,##0</c:formatCode>
                <c:ptCount val="12"/>
                <c:pt idx="0">
                  <c:v>110</c:v>
                </c:pt>
                <c:pt idx="1">
                  <c:v>131</c:v>
                </c:pt>
                <c:pt idx="2">
                  <c:v>126</c:v>
                </c:pt>
                <c:pt idx="3">
                  <c:v>130</c:v>
                </c:pt>
                <c:pt idx="4">
                  <c:v>119</c:v>
                </c:pt>
                <c:pt idx="5">
                  <c:v>148</c:v>
                </c:pt>
                <c:pt idx="6">
                  <c:v>127</c:v>
                </c:pt>
                <c:pt idx="7">
                  <c:v>136</c:v>
                </c:pt>
                <c:pt idx="8">
                  <c:v>123</c:v>
                </c:pt>
                <c:pt idx="9">
                  <c:v>175</c:v>
                </c:pt>
                <c:pt idx="10">
                  <c:v>169</c:v>
                </c:pt>
                <c:pt idx="1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4B-45DD-B56F-FC8A43B56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8-4FBF-B435-AF4EA6BA4A2A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78-4FBF-B435-AF4EA6BA4A2A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78-4FBF-B435-AF4EA6BA4A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Winston!$A$25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Winston!$B$24:$M$24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Winston!$B$25:$M$25</c:f>
              <c:numCache>
                <c:formatCode>#,##0</c:formatCode>
                <c:ptCount val="12"/>
                <c:pt idx="0">
                  <c:v>530</c:v>
                </c:pt>
                <c:pt idx="1">
                  <c:v>620</c:v>
                </c:pt>
                <c:pt idx="2">
                  <c:v>521</c:v>
                </c:pt>
                <c:pt idx="3">
                  <c:v>663.58909999999992</c:v>
                </c:pt>
                <c:pt idx="4">
                  <c:v>620.77690000000007</c:v>
                </c:pt>
                <c:pt idx="5">
                  <c:v>715.70830000000001</c:v>
                </c:pt>
                <c:pt idx="6">
                  <c:v>745.49070000000006</c:v>
                </c:pt>
                <c:pt idx="7">
                  <c:v>670.10400000000004</c:v>
                </c:pt>
                <c:pt idx="8">
                  <c:v>594.71729999999991</c:v>
                </c:pt>
                <c:pt idx="9">
                  <c:v>724.08460000000002</c:v>
                </c:pt>
                <c:pt idx="10">
                  <c:v>600.30150000000003</c:v>
                </c:pt>
                <c:pt idx="11">
                  <c:v>438.35969999999998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42-4B28-9BD3-A7476247E6B4}"/>
            </c:ext>
          </c:extLst>
        </c:ser>
        <c:ser>
          <c:idx val="1"/>
          <c:order val="1"/>
          <c:tx>
            <c:strRef>
              <c:f>Winston!$A$26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Winston!$B$24:$M$24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Winston!$B$26:$M$26</c:f>
              <c:numCache>
                <c:formatCode>#,##0</c:formatCode>
                <c:ptCount val="12"/>
                <c:pt idx="0">
                  <c:v>660</c:v>
                </c:pt>
                <c:pt idx="1">
                  <c:v>746</c:v>
                </c:pt>
                <c:pt idx="2">
                  <c:v>761</c:v>
                </c:pt>
                <c:pt idx="3">
                  <c:v>713</c:v>
                </c:pt>
                <c:pt idx="4">
                  <c:v>667</c:v>
                </c:pt>
                <c:pt idx="5">
                  <c:v>769</c:v>
                </c:pt>
                <c:pt idx="6">
                  <c:v>801</c:v>
                </c:pt>
                <c:pt idx="7">
                  <c:v>720</c:v>
                </c:pt>
                <c:pt idx="8">
                  <c:v>639</c:v>
                </c:pt>
                <c:pt idx="9">
                  <c:v>778</c:v>
                </c:pt>
                <c:pt idx="10">
                  <c:v>645</c:v>
                </c:pt>
                <c:pt idx="11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42-4B28-9BD3-A7476247E6B4}"/>
            </c:ext>
          </c:extLst>
        </c:ser>
        <c:ser>
          <c:idx val="2"/>
          <c:order val="2"/>
          <c:tx>
            <c:strRef>
              <c:f>Winston!$A$27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Winston!$B$24:$M$24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Winston!$B$27:$M$27</c:f>
              <c:numCache>
                <c:formatCode>#,##0</c:formatCode>
                <c:ptCount val="12"/>
                <c:pt idx="0">
                  <c:v>537</c:v>
                </c:pt>
                <c:pt idx="1">
                  <c:v>599</c:v>
                </c:pt>
                <c:pt idx="2">
                  <c:v>670</c:v>
                </c:pt>
                <c:pt idx="3">
                  <c:v>817</c:v>
                </c:pt>
                <c:pt idx="4">
                  <c:v>859</c:v>
                </c:pt>
                <c:pt idx="5">
                  <c:v>801</c:v>
                </c:pt>
                <c:pt idx="6">
                  <c:v>884</c:v>
                </c:pt>
                <c:pt idx="7">
                  <c:v>677</c:v>
                </c:pt>
                <c:pt idx="8">
                  <c:v>762</c:v>
                </c:pt>
                <c:pt idx="9">
                  <c:v>829</c:v>
                </c:pt>
                <c:pt idx="10">
                  <c:v>822</c:v>
                </c:pt>
                <c:pt idx="11">
                  <c:v>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42-4B28-9BD3-A7476247E6B4}"/>
            </c:ext>
          </c:extLst>
        </c:ser>
        <c:ser>
          <c:idx val="3"/>
          <c:order val="3"/>
          <c:tx>
            <c:strRef>
              <c:f>Winston!$A$28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Winston!$B$24:$M$24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Winston!$B$28:$M$28</c:f>
              <c:numCache>
                <c:formatCode>#,##0</c:formatCode>
                <c:ptCount val="12"/>
                <c:pt idx="0">
                  <c:v>413</c:v>
                </c:pt>
                <c:pt idx="1">
                  <c:v>346</c:v>
                </c:pt>
                <c:pt idx="2">
                  <c:v>334</c:v>
                </c:pt>
                <c:pt idx="3">
                  <c:v>322</c:v>
                </c:pt>
                <c:pt idx="4">
                  <c:v>249</c:v>
                </c:pt>
                <c:pt idx="5">
                  <c:v>306</c:v>
                </c:pt>
                <c:pt idx="6">
                  <c:v>223</c:v>
                </c:pt>
                <c:pt idx="7">
                  <c:v>293</c:v>
                </c:pt>
                <c:pt idx="8">
                  <c:v>417</c:v>
                </c:pt>
                <c:pt idx="9">
                  <c:v>493</c:v>
                </c:pt>
                <c:pt idx="10">
                  <c:v>537</c:v>
                </c:pt>
                <c:pt idx="11">
                  <c:v>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42-4B28-9BD3-A7476247E6B4}"/>
            </c:ext>
          </c:extLst>
        </c:ser>
        <c:ser>
          <c:idx val="4"/>
          <c:order val="4"/>
          <c:tx>
            <c:strRef>
              <c:f>Winston!$A$29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Winston!$B$24:$M$24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Winston!$B$29:$M$29</c:f>
              <c:numCache>
                <c:formatCode>#,##0</c:formatCode>
                <c:ptCount val="12"/>
                <c:pt idx="0">
                  <c:v>651</c:v>
                </c:pt>
                <c:pt idx="1">
                  <c:v>443</c:v>
                </c:pt>
                <c:pt idx="2">
                  <c:v>444</c:v>
                </c:pt>
                <c:pt idx="3">
                  <c:v>478</c:v>
                </c:pt>
                <c:pt idx="4">
                  <c:v>413</c:v>
                </c:pt>
                <c:pt idx="5">
                  <c:v>448</c:v>
                </c:pt>
                <c:pt idx="6">
                  <c:v>361</c:v>
                </c:pt>
                <c:pt idx="7">
                  <c:v>331</c:v>
                </c:pt>
                <c:pt idx="8">
                  <c:v>385</c:v>
                </c:pt>
                <c:pt idx="9">
                  <c:v>396</c:v>
                </c:pt>
                <c:pt idx="10">
                  <c:v>268</c:v>
                </c:pt>
                <c:pt idx="11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3F-48C4-BFB8-EFD0C847EE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E9-4020-8163-9A8AA6BEFABC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E9-4020-8163-9A8AA6BEFABC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E9-4020-8163-9A8AA6BEFAB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'Yearly Comparison '!$A$25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'Yearly Comparison 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'Yearly Comparison '!$B$25:$M$25</c:f>
              <c:numCache>
                <c:formatCode>#,##0</c:formatCode>
                <c:ptCount val="12"/>
                <c:pt idx="0">
                  <c:v>8232</c:v>
                </c:pt>
                <c:pt idx="1">
                  <c:v>8877</c:v>
                </c:pt>
                <c:pt idx="2">
                  <c:v>8266</c:v>
                </c:pt>
                <c:pt idx="3">
                  <c:v>11070.4237616459</c:v>
                </c:pt>
                <c:pt idx="4">
                  <c:v>9881.4593407772609</c:v>
                </c:pt>
                <c:pt idx="5">
                  <c:v>10431.737523055588</c:v>
                </c:pt>
                <c:pt idx="6">
                  <c:v>10122.309325963644</c:v>
                </c:pt>
                <c:pt idx="7">
                  <c:v>9688.9446013315392</c:v>
                </c:pt>
                <c:pt idx="8">
                  <c:v>10641.190254598465</c:v>
                </c:pt>
                <c:pt idx="9">
                  <c:v>10696.54857023307</c:v>
                </c:pt>
                <c:pt idx="10">
                  <c:v>10920.4605633223</c:v>
                </c:pt>
                <c:pt idx="11">
                  <c:v>10877.909022200176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25-4F29-A49E-2150D17F3CF4}"/>
            </c:ext>
          </c:extLst>
        </c:ser>
        <c:ser>
          <c:idx val="1"/>
          <c:order val="1"/>
          <c:tx>
            <c:strRef>
              <c:f>'Yearly Comparison '!$A$26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'Yearly Comparison 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'Yearly Comparison '!$B$26:$M$26</c:f>
              <c:numCache>
                <c:formatCode>#,##0</c:formatCode>
                <c:ptCount val="12"/>
                <c:pt idx="0">
                  <c:v>6963</c:v>
                </c:pt>
                <c:pt idx="1">
                  <c:v>7939</c:v>
                </c:pt>
                <c:pt idx="2">
                  <c:v>8040</c:v>
                </c:pt>
                <c:pt idx="3">
                  <c:v>9122</c:v>
                </c:pt>
                <c:pt idx="4">
                  <c:v>7981</c:v>
                </c:pt>
                <c:pt idx="5">
                  <c:v>8357</c:v>
                </c:pt>
                <c:pt idx="6">
                  <c:v>9381</c:v>
                </c:pt>
                <c:pt idx="7">
                  <c:v>9433</c:v>
                </c:pt>
                <c:pt idx="8">
                  <c:v>8988</c:v>
                </c:pt>
                <c:pt idx="9">
                  <c:v>9855</c:v>
                </c:pt>
                <c:pt idx="10">
                  <c:v>9484</c:v>
                </c:pt>
                <c:pt idx="11">
                  <c:v>8157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25-4F29-A49E-2150D17F3CF4}"/>
            </c:ext>
          </c:extLst>
        </c:ser>
        <c:ser>
          <c:idx val="2"/>
          <c:order val="2"/>
          <c:tx>
            <c:strRef>
              <c:f>'Yearly Comparison 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'Yearly Comparison 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'Yearly Comparison '!$B$27:$M$27</c:f>
              <c:numCache>
                <c:formatCode>#,##0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25-4F29-A49E-2150D17F3CF4}"/>
            </c:ext>
          </c:extLst>
        </c:ser>
        <c:ser>
          <c:idx val="3"/>
          <c:order val="3"/>
          <c:tx>
            <c:strRef>
              <c:f>'Yearly Comparison '!$A$28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'Yearly Comparison 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'Yearly Comparison '!$B$28:$M$28</c:f>
              <c:numCache>
                <c:formatCode>#,##0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25-4F29-A49E-2150D17F3CF4}"/>
            </c:ext>
          </c:extLst>
        </c:ser>
        <c:ser>
          <c:idx val="4"/>
          <c:order val="4"/>
          <c:tx>
            <c:strRef>
              <c:f>'Yearly Comparison '!$A$29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'Yearly Comparison 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'Yearly Comparison '!$B$29:$M$29</c:f>
              <c:numCache>
                <c:formatCode>#,##0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6-4E1A-AD4A-A1C8119CD0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'Umpqua Rides'!$A$27</c:f>
              <c:strCache>
                <c:ptCount val="1"/>
                <c:pt idx="0">
                  <c:v>UPTD ParaTransit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'Umpqua Rides'!$B$26:$N$26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'Umpqua Rides'!$B$27:$N$27</c:f>
              <c:numCache>
                <c:formatCode>#,##0</c:formatCode>
                <c:ptCount val="13"/>
                <c:pt idx="0">
                  <c:v>1305</c:v>
                </c:pt>
                <c:pt idx="1">
                  <c:v>1425</c:v>
                </c:pt>
                <c:pt idx="2">
                  <c:v>1378</c:v>
                </c:pt>
                <c:pt idx="3">
                  <c:v>1263</c:v>
                </c:pt>
                <c:pt idx="4">
                  <c:v>1483</c:v>
                </c:pt>
                <c:pt idx="5">
                  <c:v>1512</c:v>
                </c:pt>
                <c:pt idx="6">
                  <c:v>1497</c:v>
                </c:pt>
                <c:pt idx="7">
                  <c:v>1508</c:v>
                </c:pt>
                <c:pt idx="8">
                  <c:v>1264</c:v>
                </c:pt>
                <c:pt idx="9">
                  <c:v>812</c:v>
                </c:pt>
                <c:pt idx="10">
                  <c:v>823</c:v>
                </c:pt>
                <c:pt idx="11">
                  <c:v>782</c:v>
                </c:pt>
                <c:pt idx="12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4B-4FBD-BC91-5447C4495D65}"/>
            </c:ext>
          </c:extLst>
        </c:ser>
        <c:ser>
          <c:idx val="1"/>
          <c:order val="1"/>
          <c:tx>
            <c:strRef>
              <c:f>'Umpqua Rides'!$A$28</c:f>
              <c:strCache>
                <c:ptCount val="1"/>
                <c:pt idx="0">
                  <c:v>UPTD - Umpqua Rides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'Umpqua Rides'!$B$26:$N$26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'Umpqua Rides'!$B$28:$N$28</c:f>
              <c:numCache>
                <c:formatCode>#,##0</c:formatCode>
                <c:ptCount val="13"/>
                <c:pt idx="0">
                  <c:v>515</c:v>
                </c:pt>
                <c:pt idx="1">
                  <c:v>505</c:v>
                </c:pt>
                <c:pt idx="2">
                  <c:v>535</c:v>
                </c:pt>
                <c:pt idx="3">
                  <c:v>530</c:v>
                </c:pt>
                <c:pt idx="4">
                  <c:v>528</c:v>
                </c:pt>
                <c:pt idx="5">
                  <c:v>526</c:v>
                </c:pt>
                <c:pt idx="6">
                  <c:v>534</c:v>
                </c:pt>
                <c:pt idx="7">
                  <c:v>496</c:v>
                </c:pt>
                <c:pt idx="8">
                  <c:v>652</c:v>
                </c:pt>
                <c:pt idx="9">
                  <c:v>602</c:v>
                </c:pt>
                <c:pt idx="10">
                  <c:v>770</c:v>
                </c:pt>
                <c:pt idx="11">
                  <c:v>701</c:v>
                </c:pt>
                <c:pt idx="12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4B-4FBD-BC91-5447C4495D65}"/>
            </c:ext>
          </c:extLst>
        </c:ser>
        <c:ser>
          <c:idx val="2"/>
          <c:order val="2"/>
          <c:tx>
            <c:strRef>
              <c:f>'Umpqua Rides'!$A$29</c:f>
              <c:strCache>
                <c:ptCount val="1"/>
                <c:pt idx="0">
                  <c:v>Reedsport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'Umpqua Rides'!$B$26:$N$26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'Umpqua Rides'!$B$29:$N$29</c:f>
              <c:numCache>
                <c:formatCode>#,##0</c:formatCode>
                <c:ptCount val="13"/>
                <c:pt idx="0">
                  <c:v>247</c:v>
                </c:pt>
                <c:pt idx="1">
                  <c:v>209</c:v>
                </c:pt>
                <c:pt idx="2">
                  <c:v>246</c:v>
                </c:pt>
                <c:pt idx="3">
                  <c:v>309</c:v>
                </c:pt>
                <c:pt idx="4">
                  <c:v>348</c:v>
                </c:pt>
                <c:pt idx="5">
                  <c:v>350</c:v>
                </c:pt>
                <c:pt idx="6">
                  <c:v>351</c:v>
                </c:pt>
                <c:pt idx="7">
                  <c:v>303</c:v>
                </c:pt>
                <c:pt idx="8">
                  <c:v>304</c:v>
                </c:pt>
                <c:pt idx="9">
                  <c:v>316</c:v>
                </c:pt>
                <c:pt idx="10">
                  <c:v>330</c:v>
                </c:pt>
                <c:pt idx="11">
                  <c:v>189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4B-4FBD-BC91-5447C4495D65}"/>
            </c:ext>
          </c:extLst>
        </c:ser>
        <c:ser>
          <c:idx val="3"/>
          <c:order val="3"/>
          <c:tx>
            <c:strRef>
              <c:f>'Umpqua Rides'!$A$30</c:f>
              <c:strCache>
                <c:ptCount val="1"/>
                <c:pt idx="0">
                  <c:v>Mercy Express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'Umpqua Rides'!$B$26:$N$26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'Umpqua Rides'!$B$30:$N$30</c:f>
              <c:numCache>
                <c:formatCode>#,##0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2023-434A-B970-1F6ADA6E2DFD}"/>
            </c:ext>
          </c:extLst>
        </c:ser>
        <c:ser>
          <c:idx val="4"/>
          <c:order val="4"/>
          <c:tx>
            <c:strRef>
              <c:f>'Umpqua Rides'!$A$31</c:f>
              <c:strCache>
                <c:ptCount val="1"/>
                <c:pt idx="0">
                  <c:v>Mercy Paratransit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'Umpqua Rides'!$B$26:$N$26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'Umpqua Rides'!$B$31:$N$31</c:f>
              <c:numCache>
                <c:formatCode>#,##0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8342-4E22-AB37-9B0E9A20F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67167614592991E-2"/>
          <c:y val="0.89508573333095265"/>
          <c:w val="0.92974911088662249"/>
          <c:h val="0.10491426666904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'UR-September'!$A$26</c:f>
              <c:strCache>
                <c:ptCount val="1"/>
                <c:pt idx="0">
                  <c:v>UPTD ParaTransit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'UR-September'!$B$25:$C$25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'UR-September'!$B$26:$C$26</c:f>
              <c:numCache>
                <c:formatCode>#,##0</c:formatCode>
                <c:ptCount val="2"/>
                <c:pt idx="0">
                  <c:v>1305</c:v>
                </c:pt>
                <c:pt idx="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F4-4A22-9F0A-0C9C9052501C}"/>
            </c:ext>
          </c:extLst>
        </c:ser>
        <c:ser>
          <c:idx val="1"/>
          <c:order val="1"/>
          <c:tx>
            <c:strRef>
              <c:f>'UR-September'!$A$27</c:f>
              <c:strCache>
                <c:ptCount val="1"/>
                <c:pt idx="0">
                  <c:v>UPTD - Umpqua Rides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'UR-September'!$B$25:$C$25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'UR-September'!$B$27:$C$27</c:f>
              <c:numCache>
                <c:formatCode>#,##0</c:formatCode>
                <c:ptCount val="2"/>
                <c:pt idx="0">
                  <c:v>515</c:v>
                </c:pt>
                <c:pt idx="1">
                  <c:v>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F4-4A22-9F0A-0C9C9052501C}"/>
            </c:ext>
          </c:extLst>
        </c:ser>
        <c:ser>
          <c:idx val="2"/>
          <c:order val="2"/>
          <c:tx>
            <c:strRef>
              <c:f>'UR-September'!$A$28</c:f>
              <c:strCache>
                <c:ptCount val="1"/>
                <c:pt idx="0">
                  <c:v>Reedsport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'UR-September'!$B$25:$C$25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'UR-September'!$B$28:$C$28</c:f>
              <c:numCache>
                <c:formatCode>#,##0</c:formatCode>
                <c:ptCount val="2"/>
                <c:pt idx="0">
                  <c:v>247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F4-4A22-9F0A-0C9C9052501C}"/>
            </c:ext>
          </c:extLst>
        </c:ser>
        <c:ser>
          <c:idx val="3"/>
          <c:order val="3"/>
          <c:tx>
            <c:strRef>
              <c:f>'UR-September'!$A$29</c:f>
              <c:strCache>
                <c:ptCount val="1"/>
                <c:pt idx="0">
                  <c:v>Mercy Express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'UR-September'!$B$25:$C$25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'UR-September'!$B$29:$C$29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F4-4A22-9F0A-0C9C9052501C}"/>
            </c:ext>
          </c:extLst>
        </c:ser>
        <c:ser>
          <c:idx val="4"/>
          <c:order val="4"/>
          <c:tx>
            <c:strRef>
              <c:f>'UR-September'!$A$30</c:f>
              <c:strCache>
                <c:ptCount val="1"/>
                <c:pt idx="0">
                  <c:v>Mercy Paratransit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'UR-September'!$B$25:$C$25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'UR-September'!$B$30:$C$30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F4-4A22-9F0A-0C9C90525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291182969717711E-2"/>
          <c:y val="0.88436476543799203"/>
          <c:w val="0.88195781851379251"/>
          <c:h val="9.53820646219647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'Sunshine Park'!$A$27</c:f>
              <c:strCache>
                <c:ptCount val="1"/>
                <c:pt idx="0">
                  <c:v>PART 1:  Demand Response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'Sunshine Park'!$B$26:$N$26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'Sunshine Park'!$B$27:$N$27</c:f>
              <c:numCache>
                <c:formatCode>#,##0</c:formatCode>
                <c:ptCount val="13"/>
                <c:pt idx="0">
                  <c:v>50</c:v>
                </c:pt>
                <c:pt idx="1">
                  <c:v>32</c:v>
                </c:pt>
                <c:pt idx="2">
                  <c:v>29</c:v>
                </c:pt>
                <c:pt idx="3">
                  <c:v>61</c:v>
                </c:pt>
                <c:pt idx="4">
                  <c:v>59</c:v>
                </c:pt>
                <c:pt idx="5">
                  <c:v>71</c:v>
                </c:pt>
                <c:pt idx="6">
                  <c:v>55</c:v>
                </c:pt>
                <c:pt idx="7">
                  <c:v>35</c:v>
                </c:pt>
                <c:pt idx="8">
                  <c:v>35</c:v>
                </c:pt>
                <c:pt idx="9">
                  <c:v>14</c:v>
                </c:pt>
                <c:pt idx="10">
                  <c:v>11</c:v>
                </c:pt>
                <c:pt idx="11">
                  <c:v>10</c:v>
                </c:pt>
                <c:pt idx="1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42-44FD-B0D7-89390B9B8748}"/>
            </c:ext>
          </c:extLst>
        </c:ser>
        <c:ser>
          <c:idx val="1"/>
          <c:order val="1"/>
          <c:tx>
            <c:strRef>
              <c:f>'Sunshine Park'!$A$28</c:f>
              <c:strCache>
                <c:ptCount val="1"/>
                <c:pt idx="0">
                  <c:v>PART 2:  10:45 - 11:05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'Sunshine Park'!$B$26:$N$26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'Sunshine Park'!$B$28:$N$28</c:f>
              <c:numCache>
                <c:formatCode>#,##0</c:formatCode>
                <c:ptCount val="13"/>
                <c:pt idx="0">
                  <c:v>26</c:v>
                </c:pt>
                <c:pt idx="1">
                  <c:v>30</c:v>
                </c:pt>
                <c:pt idx="2">
                  <c:v>27</c:v>
                </c:pt>
                <c:pt idx="3">
                  <c:v>56</c:v>
                </c:pt>
                <c:pt idx="4">
                  <c:v>50</c:v>
                </c:pt>
                <c:pt idx="5">
                  <c:v>59</c:v>
                </c:pt>
                <c:pt idx="6">
                  <c:v>52</c:v>
                </c:pt>
                <c:pt idx="7">
                  <c:v>27</c:v>
                </c:pt>
                <c:pt idx="8">
                  <c:v>34</c:v>
                </c:pt>
                <c:pt idx="9">
                  <c:v>17</c:v>
                </c:pt>
                <c:pt idx="10">
                  <c:v>23</c:v>
                </c:pt>
                <c:pt idx="11">
                  <c:v>24</c:v>
                </c:pt>
                <c:pt idx="1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B42-44FD-B0D7-89390B9B8748}"/>
            </c:ext>
          </c:extLst>
        </c:ser>
        <c:ser>
          <c:idx val="2"/>
          <c:order val="2"/>
          <c:tx>
            <c:strRef>
              <c:f>'Sunshine Park'!$A$29</c:f>
              <c:strCache>
                <c:ptCount val="1"/>
                <c:pt idx="0">
                  <c:v>PART 3:  2:45 - 3:05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'Sunshine Park'!$B$26:$N$26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'Sunshine Park'!$B$29:$N$29</c:f>
              <c:numCache>
                <c:formatCode>#,##0</c:formatCode>
                <c:ptCount val="13"/>
                <c:pt idx="0">
                  <c:v>10</c:v>
                </c:pt>
                <c:pt idx="1">
                  <c:v>25</c:v>
                </c:pt>
                <c:pt idx="2">
                  <c:v>23</c:v>
                </c:pt>
                <c:pt idx="3">
                  <c:v>39</c:v>
                </c:pt>
                <c:pt idx="4">
                  <c:v>28</c:v>
                </c:pt>
                <c:pt idx="5">
                  <c:v>32</c:v>
                </c:pt>
                <c:pt idx="6">
                  <c:v>54</c:v>
                </c:pt>
                <c:pt idx="7">
                  <c:v>21</c:v>
                </c:pt>
                <c:pt idx="8">
                  <c:v>19</c:v>
                </c:pt>
                <c:pt idx="9">
                  <c:v>17</c:v>
                </c:pt>
                <c:pt idx="10">
                  <c:v>29</c:v>
                </c:pt>
                <c:pt idx="11">
                  <c:v>34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42-44FD-B0D7-89390B9B8748}"/>
            </c:ext>
          </c:extLst>
        </c:ser>
        <c:ser>
          <c:idx val="3"/>
          <c:order val="3"/>
          <c:tx>
            <c:strRef>
              <c:f>'Sunshine Park'!$A$30</c:f>
              <c:strCache>
                <c:ptCount val="1"/>
                <c:pt idx="0">
                  <c:v>PART 4:  7:05 - 7:15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'Sunshine Park'!$B$26:$N$26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'Sunshine Park'!$B$30:$N$30</c:f>
              <c:numCache>
                <c:formatCode>#,##0</c:formatCode>
                <c:ptCount val="13"/>
                <c:pt idx="0">
                  <c:v>3</c:v>
                </c:pt>
                <c:pt idx="1">
                  <c:v>17</c:v>
                </c:pt>
                <c:pt idx="2">
                  <c:v>11</c:v>
                </c:pt>
                <c:pt idx="3">
                  <c:v>31</c:v>
                </c:pt>
                <c:pt idx="4">
                  <c:v>15</c:v>
                </c:pt>
                <c:pt idx="5">
                  <c:v>20</c:v>
                </c:pt>
                <c:pt idx="6">
                  <c:v>7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6</c:v>
                </c:pt>
                <c:pt idx="11">
                  <c:v>8</c:v>
                </c:pt>
                <c:pt idx="1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42-44FD-B0D7-89390B9B8748}"/>
            </c:ext>
          </c:extLst>
        </c:ser>
        <c:ser>
          <c:idx val="4"/>
          <c:order val="4"/>
          <c:tx>
            <c:strRef>
              <c:f>'Sunshine Park'!$A$31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'Sunshine Park'!$B$26:$N$26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'Sunshine Park'!$B$31:$N$31</c:f>
            </c:numRef>
          </c:val>
          <c:extLst>
            <c:ext xmlns:c16="http://schemas.microsoft.com/office/drawing/2014/chart" uri="{C3380CC4-5D6E-409C-BE32-E72D297353CC}">
              <c16:uniqueId val="{00000004-9B42-44FD-B0D7-89390B9B8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67167614592991E-2"/>
          <c:y val="0.89508573333095265"/>
          <c:w val="0.92974911088662249"/>
          <c:h val="0.10491426666904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'Medical Transportation'!$A$27</c:f>
              <c:strCache>
                <c:ptCount val="1"/>
                <c:pt idx="0">
                  <c:v>UPTD - MTM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'Medical Transportation'!$B$26:$N$26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'Medical Transportation'!$B$27:$N$27</c:f>
              <c:numCache>
                <c:formatCode>#,##0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3DDC-4F7E-B1AF-7938822B77DE}"/>
            </c:ext>
          </c:extLst>
        </c:ser>
        <c:ser>
          <c:idx val="1"/>
          <c:order val="1"/>
          <c:tx>
            <c:strRef>
              <c:f>'Medical Transportation'!$A$28</c:f>
              <c:strCache>
                <c:ptCount val="1"/>
                <c:pt idx="0">
                  <c:v>UPTD - Bay Cities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'Medical Transportation'!$B$26:$N$26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'Medical Transportation'!$B$28:$N$28</c:f>
              <c:numCache>
                <c:formatCode>#,##0</c:formatCode>
                <c:ptCount val="13"/>
                <c:pt idx="0">
                  <c:v>521</c:v>
                </c:pt>
                <c:pt idx="1">
                  <c:v>502</c:v>
                </c:pt>
                <c:pt idx="2">
                  <c:v>456</c:v>
                </c:pt>
                <c:pt idx="3">
                  <c:v>350</c:v>
                </c:pt>
                <c:pt idx="4">
                  <c:v>410</c:v>
                </c:pt>
                <c:pt idx="5">
                  <c:v>481</c:v>
                </c:pt>
                <c:pt idx="6">
                  <c:v>424</c:v>
                </c:pt>
                <c:pt idx="7">
                  <c:v>353</c:v>
                </c:pt>
                <c:pt idx="8">
                  <c:v>27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DC-4F7E-B1AF-7938822B77DE}"/>
            </c:ext>
          </c:extLst>
        </c:ser>
        <c:ser>
          <c:idx val="2"/>
          <c:order val="2"/>
          <c:tx>
            <c:strRef>
              <c:f>'Medical Transportation'!$A$29</c:f>
              <c:strCache>
                <c:ptCount val="1"/>
                <c:pt idx="0">
                  <c:v>Volunteers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'Medical Transportation'!$B$26:$N$26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'Medical Transportation'!$B$29:$N$29</c:f>
              <c:numCache>
                <c:formatCode>#,##0</c:formatCode>
                <c:ptCount val="13"/>
                <c:pt idx="0">
                  <c:v>325</c:v>
                </c:pt>
                <c:pt idx="1">
                  <c:v>292</c:v>
                </c:pt>
                <c:pt idx="2">
                  <c:v>269</c:v>
                </c:pt>
                <c:pt idx="3">
                  <c:v>306</c:v>
                </c:pt>
                <c:pt idx="4">
                  <c:v>511</c:v>
                </c:pt>
                <c:pt idx="5">
                  <c:v>702</c:v>
                </c:pt>
                <c:pt idx="6">
                  <c:v>610</c:v>
                </c:pt>
                <c:pt idx="7">
                  <c:v>815</c:v>
                </c:pt>
                <c:pt idx="8">
                  <c:v>896</c:v>
                </c:pt>
                <c:pt idx="9">
                  <c:v>857</c:v>
                </c:pt>
                <c:pt idx="10">
                  <c:v>877</c:v>
                </c:pt>
                <c:pt idx="11">
                  <c:v>724</c:v>
                </c:pt>
                <c:pt idx="1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DC-4F7E-B1AF-7938822B77DE}"/>
            </c:ext>
          </c:extLst>
        </c:ser>
        <c:ser>
          <c:idx val="3"/>
          <c:order val="3"/>
          <c:tx>
            <c:strRef>
              <c:f>'Medical Transportation'!$A$30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'Medical Transportation'!$B$26:$N$26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'Medical Transportation'!$B$30:$N$30</c:f>
            </c:numRef>
          </c:val>
          <c:extLst>
            <c:ext xmlns:c16="http://schemas.microsoft.com/office/drawing/2014/chart" uri="{C3380CC4-5D6E-409C-BE32-E72D297353CC}">
              <c16:uniqueId val="{00000003-3DDC-4F7E-B1AF-7938822B77DE}"/>
            </c:ext>
          </c:extLst>
        </c:ser>
        <c:ser>
          <c:idx val="4"/>
          <c:order val="4"/>
          <c:tx>
            <c:strRef>
              <c:f>'Medical Transportation'!$A$31</c:f>
              <c:strCache>
                <c:ptCount val="1"/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'Medical Transportation'!$B$26:$N$26</c:f>
              <c:strCache>
                <c:ptCount val="13"/>
                <c:pt idx="0">
                  <c:v>SEP-23</c:v>
                </c:pt>
                <c:pt idx="1">
                  <c:v>OCT-23</c:v>
                </c:pt>
                <c:pt idx="2">
                  <c:v>NOV-23</c:v>
                </c:pt>
                <c:pt idx="3">
                  <c:v>DEC-23</c:v>
                </c:pt>
                <c:pt idx="4">
                  <c:v>JAN-24</c:v>
                </c:pt>
                <c:pt idx="5">
                  <c:v>FEB-24</c:v>
                </c:pt>
                <c:pt idx="6">
                  <c:v>MAR-24</c:v>
                </c:pt>
                <c:pt idx="7">
                  <c:v>APR-24</c:v>
                </c:pt>
                <c:pt idx="8">
                  <c:v>MAY-24</c:v>
                </c:pt>
                <c:pt idx="9">
                  <c:v>JUN-24</c:v>
                </c:pt>
                <c:pt idx="10">
                  <c:v>JUL-24</c:v>
                </c:pt>
                <c:pt idx="11">
                  <c:v>AUG-24</c:v>
                </c:pt>
                <c:pt idx="12">
                  <c:v>SEP-24</c:v>
                </c:pt>
              </c:strCache>
            </c:strRef>
          </c:cat>
          <c:val>
            <c:numRef>
              <c:f>'Medical Transportation'!$B$31:$N$31</c:f>
            </c:numRef>
          </c:val>
          <c:extLst>
            <c:ext xmlns:c16="http://schemas.microsoft.com/office/drawing/2014/chart" uri="{C3380CC4-5D6E-409C-BE32-E72D297353CC}">
              <c16:uniqueId val="{00000004-3DDC-4F7E-B1AF-7938822B7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67167614592991E-2"/>
          <c:y val="0.89508573333095265"/>
          <c:w val="0.92974911088662249"/>
          <c:h val="0.10491426666904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September!$A$21</c:f>
              <c:strCache>
                <c:ptCount val="1"/>
                <c:pt idx="0">
                  <c:v>Roseburg Fixed Route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September!$B$20:$C$20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September!$B$21:$C$21</c:f>
              <c:numCache>
                <c:formatCode>#,##0</c:formatCode>
                <c:ptCount val="2"/>
                <c:pt idx="0">
                  <c:v>5517</c:v>
                </c:pt>
                <c:pt idx="1">
                  <c:v>5986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0-4C3B-82FF-FF5CF9775CB2}"/>
            </c:ext>
          </c:extLst>
        </c:ser>
        <c:ser>
          <c:idx val="1"/>
          <c:order val="1"/>
          <c:tx>
            <c:strRef>
              <c:f>September!$A$22</c:f>
              <c:strCache>
                <c:ptCount val="1"/>
                <c:pt idx="0">
                  <c:v>Winston Commuter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September!$B$20:$C$20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September!$B$22:$C$22</c:f>
              <c:numCache>
                <c:formatCode>#,##0</c:formatCode>
                <c:ptCount val="2"/>
                <c:pt idx="0">
                  <c:v>761</c:v>
                </c:pt>
                <c:pt idx="1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0-4C3B-82FF-FF5CF9775CB2}"/>
            </c:ext>
          </c:extLst>
        </c:ser>
        <c:ser>
          <c:idx val="2"/>
          <c:order val="2"/>
          <c:tx>
            <c:strRef>
              <c:f>September!$A$23</c:f>
              <c:strCache>
                <c:ptCount val="1"/>
                <c:pt idx="0">
                  <c:v>Sutherlin Commuter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September!$B$20:$C$20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September!$B$23:$C$23</c:f>
              <c:numCache>
                <c:formatCode>#,##0</c:formatCode>
                <c:ptCount val="2"/>
                <c:pt idx="0">
                  <c:v>512</c:v>
                </c:pt>
                <c:pt idx="1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0-4C3B-82FF-FF5CF9775CB2}"/>
            </c:ext>
          </c:extLst>
        </c:ser>
        <c:ser>
          <c:idx val="3"/>
          <c:order val="3"/>
          <c:tx>
            <c:strRef>
              <c:f>September!$A$24</c:f>
              <c:strCache>
                <c:ptCount val="1"/>
                <c:pt idx="0">
                  <c:v>South County Commuter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September!$B$20:$C$20</c:f>
              <c:strCache>
                <c:ptCount val="2"/>
                <c:pt idx="0">
                  <c:v>SEP-23</c:v>
                </c:pt>
                <c:pt idx="1">
                  <c:v>SEP-24</c:v>
                </c:pt>
              </c:strCache>
            </c:strRef>
          </c:cat>
          <c:val>
            <c:numRef>
              <c:f>September!$B$24:$C$24</c:f>
              <c:numCache>
                <c:formatCode>#,##0</c:formatCode>
                <c:ptCount val="2"/>
                <c:pt idx="0">
                  <c:v>1250</c:v>
                </c:pt>
                <c:pt idx="1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F0-4F3A-94A0-E5FA1339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13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784594317014735E-2"/>
          <c:y val="0.8697342482331335"/>
          <c:w val="0.93127139107611545"/>
          <c:h val="0.103238705567642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5-4D56-BCE4-49820C2E218F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5-4D56-BCE4-49820C2E218F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5-4D56-BCE4-49820C2E21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'Red-Green'!$A$25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'Red-Green'!$B$24:$M$24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'Red-Green'!$B$25:$M$25</c:f>
              <c:numCache>
                <c:formatCode>#,##0</c:formatCode>
                <c:ptCount val="12"/>
                <c:pt idx="0">
                  <c:v>5658</c:v>
                </c:pt>
                <c:pt idx="1">
                  <c:v>6655</c:v>
                </c:pt>
                <c:pt idx="2">
                  <c:v>5986</c:v>
                </c:pt>
                <c:pt idx="3">
                  <c:v>6735.9721</c:v>
                </c:pt>
                <c:pt idx="4">
                  <c:v>5844.8456000000006</c:v>
                </c:pt>
                <c:pt idx="5">
                  <c:v>5876.7137000000002</c:v>
                </c:pt>
                <c:pt idx="6">
                  <c:v>6679.3177000000005</c:v>
                </c:pt>
                <c:pt idx="7">
                  <c:v>6845.74</c:v>
                </c:pt>
                <c:pt idx="8">
                  <c:v>6668.6949999999997</c:v>
                </c:pt>
                <c:pt idx="9">
                  <c:v>7373.3341</c:v>
                </c:pt>
                <c:pt idx="10">
                  <c:v>7289.5328</c:v>
                </c:pt>
                <c:pt idx="11">
                  <c:v>6393.6850999999997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7-4E52-A232-B1E60BA1D355}"/>
            </c:ext>
          </c:extLst>
        </c:ser>
        <c:ser>
          <c:idx val="1"/>
          <c:order val="1"/>
          <c:tx>
            <c:strRef>
              <c:f>'Red-Green'!$A$26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'Red-Green'!$B$24:$M$24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'Red-Green'!$B$26:$M$26</c:f>
              <c:numCache>
                <c:formatCode>#,##0</c:formatCode>
                <c:ptCount val="12"/>
                <c:pt idx="0">
                  <c:v>4416</c:v>
                </c:pt>
                <c:pt idx="1">
                  <c:v>5247</c:v>
                </c:pt>
                <c:pt idx="2">
                  <c:v>4852</c:v>
                </c:pt>
                <c:pt idx="3">
                  <c:v>5707</c:v>
                </c:pt>
                <c:pt idx="4">
                  <c:v>4952</c:v>
                </c:pt>
                <c:pt idx="5">
                  <c:v>4979</c:v>
                </c:pt>
                <c:pt idx="6">
                  <c:v>5659</c:v>
                </c:pt>
                <c:pt idx="7">
                  <c:v>5800</c:v>
                </c:pt>
                <c:pt idx="8">
                  <c:v>5650</c:v>
                </c:pt>
                <c:pt idx="9">
                  <c:v>6247</c:v>
                </c:pt>
                <c:pt idx="10">
                  <c:v>6176</c:v>
                </c:pt>
                <c:pt idx="11">
                  <c:v>5417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C7-4E52-A232-B1E60BA1D355}"/>
            </c:ext>
          </c:extLst>
        </c:ser>
        <c:ser>
          <c:idx val="2"/>
          <c:order val="2"/>
          <c:tx>
            <c:strRef>
              <c:f>'Red-Green'!$A$27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'Red-Green'!$B$24:$M$24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'Red-Green'!$B$27:$M$27</c:f>
              <c:numCache>
                <c:formatCode>#,##0</c:formatCode>
                <c:ptCount val="12"/>
                <c:pt idx="0">
                  <c:v>3295</c:v>
                </c:pt>
                <c:pt idx="1">
                  <c:v>4480</c:v>
                </c:pt>
                <c:pt idx="2">
                  <c:v>4677</c:v>
                </c:pt>
                <c:pt idx="3">
                  <c:v>4975</c:v>
                </c:pt>
                <c:pt idx="4">
                  <c:v>4591</c:v>
                </c:pt>
                <c:pt idx="5">
                  <c:v>4548</c:v>
                </c:pt>
                <c:pt idx="6">
                  <c:v>4876</c:v>
                </c:pt>
                <c:pt idx="7">
                  <c:v>4268</c:v>
                </c:pt>
                <c:pt idx="8">
                  <c:v>4844</c:v>
                </c:pt>
                <c:pt idx="9">
                  <c:v>4264</c:v>
                </c:pt>
                <c:pt idx="10">
                  <c:v>5205</c:v>
                </c:pt>
                <c:pt idx="11">
                  <c:v>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C7-4E52-A232-B1E60BA1D355}"/>
            </c:ext>
          </c:extLst>
        </c:ser>
        <c:ser>
          <c:idx val="3"/>
          <c:order val="3"/>
          <c:tx>
            <c:strRef>
              <c:f>'Red-Green'!$A$28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'Red-Green'!$B$24:$M$24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'Red-Green'!$B$28:$M$28</c:f>
              <c:numCache>
                <c:formatCode>#,##0</c:formatCode>
                <c:ptCount val="12"/>
                <c:pt idx="0">
                  <c:v>2615</c:v>
                </c:pt>
                <c:pt idx="1">
                  <c:v>2577</c:v>
                </c:pt>
                <c:pt idx="2">
                  <c:v>2392</c:v>
                </c:pt>
                <c:pt idx="3">
                  <c:v>2616</c:v>
                </c:pt>
                <c:pt idx="4">
                  <c:v>2467</c:v>
                </c:pt>
                <c:pt idx="5">
                  <c:v>2995</c:v>
                </c:pt>
                <c:pt idx="6">
                  <c:v>2417</c:v>
                </c:pt>
                <c:pt idx="7">
                  <c:v>2353</c:v>
                </c:pt>
                <c:pt idx="8">
                  <c:v>3179</c:v>
                </c:pt>
                <c:pt idx="9">
                  <c:v>3070</c:v>
                </c:pt>
                <c:pt idx="10">
                  <c:v>3244</c:v>
                </c:pt>
                <c:pt idx="11">
                  <c:v>3629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C7-4E52-A232-B1E60BA1D355}"/>
            </c:ext>
          </c:extLst>
        </c:ser>
        <c:ser>
          <c:idx val="4"/>
          <c:order val="4"/>
          <c:tx>
            <c:strRef>
              <c:f>'Red-Green'!$A$29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'Red-Green'!$B$24:$M$24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'Red-Green'!$B$29:$M$29</c:f>
              <c:numCache>
                <c:formatCode>#,##0</c:formatCode>
                <c:ptCount val="12"/>
                <c:pt idx="0">
                  <c:v>2374</c:v>
                </c:pt>
                <c:pt idx="1">
                  <c:v>2316</c:v>
                </c:pt>
                <c:pt idx="2">
                  <c:v>2617</c:v>
                </c:pt>
                <c:pt idx="3">
                  <c:v>2939</c:v>
                </c:pt>
                <c:pt idx="4">
                  <c:v>2534</c:v>
                </c:pt>
                <c:pt idx="5">
                  <c:v>3259</c:v>
                </c:pt>
                <c:pt idx="6">
                  <c:v>1971</c:v>
                </c:pt>
                <c:pt idx="7">
                  <c:v>1987</c:v>
                </c:pt>
                <c:pt idx="8">
                  <c:v>2552</c:v>
                </c:pt>
                <c:pt idx="9">
                  <c:v>2331</c:v>
                </c:pt>
                <c:pt idx="10">
                  <c:v>2027</c:v>
                </c:pt>
                <c:pt idx="11">
                  <c:v>2480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0C-4EE3-853F-992B9CD88D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8-4D3A-9544-C90595B2905E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F8-4D3A-9544-C90595B2905E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F8-4D3A-9544-C90595B290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Expansion!$A$25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Expansion!$B$24:$M$24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Expansion!$B$25:$M$25</c:f>
              <c:numCache>
                <c:formatCode>#,##0</c:formatCode>
                <c:ptCount val="12"/>
                <c:pt idx="0">
                  <c:v>234</c:v>
                </c:pt>
                <c:pt idx="1">
                  <c:v>214</c:v>
                </c:pt>
                <c:pt idx="2">
                  <c:v>207</c:v>
                </c:pt>
                <c:pt idx="3">
                  <c:v>179.05549999999999</c:v>
                </c:pt>
                <c:pt idx="4">
                  <c:v>147.19900000000001</c:v>
                </c:pt>
                <c:pt idx="5">
                  <c:v>170.26750000000001</c:v>
                </c:pt>
                <c:pt idx="6">
                  <c:v>163.6765</c:v>
                </c:pt>
                <c:pt idx="7">
                  <c:v>228.488</c:v>
                </c:pt>
                <c:pt idx="8">
                  <c:v>209.8135</c:v>
                </c:pt>
                <c:pt idx="9">
                  <c:v>275.7235</c:v>
                </c:pt>
                <c:pt idx="10">
                  <c:v>263.64000000000004</c:v>
                </c:pt>
                <c:pt idx="11">
                  <c:v>257.04899999999998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A-4A86-85FD-868BDAF46C0C}"/>
            </c:ext>
          </c:extLst>
        </c:ser>
        <c:ser>
          <c:idx val="1"/>
          <c:order val="1"/>
          <c:tx>
            <c:strRef>
              <c:f>Expansion!$A$26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Expansion!$B$24:$M$24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Expansion!$B$26:$M$26</c:f>
              <c:numCache>
                <c:formatCode>#,##0</c:formatCode>
                <c:ptCount val="12"/>
                <c:pt idx="0">
                  <c:v>221</c:v>
                </c:pt>
                <c:pt idx="1">
                  <c:v>235</c:v>
                </c:pt>
                <c:pt idx="2">
                  <c:v>172</c:v>
                </c:pt>
                <c:pt idx="3">
                  <c:v>163</c:v>
                </c:pt>
                <c:pt idx="4">
                  <c:v>134</c:v>
                </c:pt>
                <c:pt idx="5">
                  <c:v>155</c:v>
                </c:pt>
                <c:pt idx="6">
                  <c:v>149</c:v>
                </c:pt>
                <c:pt idx="7">
                  <c:v>208</c:v>
                </c:pt>
                <c:pt idx="8">
                  <c:v>191</c:v>
                </c:pt>
                <c:pt idx="9">
                  <c:v>251</c:v>
                </c:pt>
                <c:pt idx="10">
                  <c:v>240</c:v>
                </c:pt>
                <c:pt idx="11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4A-4A86-85FD-868BDAF46C0C}"/>
            </c:ext>
          </c:extLst>
        </c:ser>
        <c:ser>
          <c:idx val="2"/>
          <c:order val="2"/>
          <c:tx>
            <c:strRef>
              <c:f>Expansion!$A$27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Expansion!$B$24:$M$24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Expansion!$B$27:$M$27</c:f>
              <c:numCache>
                <c:formatCode>#,##0</c:formatCode>
                <c:ptCount val="12"/>
                <c:pt idx="0">
                  <c:v>142</c:v>
                </c:pt>
                <c:pt idx="1">
                  <c:v>206</c:v>
                </c:pt>
                <c:pt idx="2">
                  <c:v>180</c:v>
                </c:pt>
                <c:pt idx="3">
                  <c:v>199</c:v>
                </c:pt>
                <c:pt idx="4">
                  <c:v>131</c:v>
                </c:pt>
                <c:pt idx="5">
                  <c:v>134</c:v>
                </c:pt>
                <c:pt idx="6">
                  <c:v>193</c:v>
                </c:pt>
                <c:pt idx="7">
                  <c:v>131</c:v>
                </c:pt>
                <c:pt idx="8">
                  <c:v>197</c:v>
                </c:pt>
                <c:pt idx="9">
                  <c:v>186</c:v>
                </c:pt>
                <c:pt idx="10">
                  <c:v>223</c:v>
                </c:pt>
                <c:pt idx="11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A-4A86-85FD-868BDAF46C0C}"/>
            </c:ext>
          </c:extLst>
        </c:ser>
        <c:ser>
          <c:idx val="3"/>
          <c:order val="3"/>
          <c:tx>
            <c:strRef>
              <c:f>Expansion!$A$28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Expansion!$B$24:$M$24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Expansion!$B$28:$M$28</c:f>
              <c:numCache>
                <c:formatCode>#,##0</c:formatCode>
                <c:ptCount val="12"/>
                <c:pt idx="0">
                  <c:v>72</c:v>
                </c:pt>
                <c:pt idx="1">
                  <c:v>59</c:v>
                </c:pt>
                <c:pt idx="2">
                  <c:v>41</c:v>
                </c:pt>
                <c:pt idx="3">
                  <c:v>113</c:v>
                </c:pt>
                <c:pt idx="4">
                  <c:v>81</c:v>
                </c:pt>
                <c:pt idx="5">
                  <c:v>82</c:v>
                </c:pt>
                <c:pt idx="6">
                  <c:v>83</c:v>
                </c:pt>
                <c:pt idx="7">
                  <c:v>82</c:v>
                </c:pt>
                <c:pt idx="8">
                  <c:v>114</c:v>
                </c:pt>
                <c:pt idx="9">
                  <c:v>93</c:v>
                </c:pt>
                <c:pt idx="10">
                  <c:v>106</c:v>
                </c:pt>
                <c:pt idx="1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4A-4A86-85FD-868BDAF46C0C}"/>
            </c:ext>
          </c:extLst>
        </c:ser>
        <c:ser>
          <c:idx val="4"/>
          <c:order val="4"/>
          <c:tx>
            <c:strRef>
              <c:f>Expansion!$A$29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Expansion!$B$24:$M$24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Expansion!$B$29:$M$29</c:f>
              <c:numCache>
                <c:formatCode>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A4-47E5-B84E-6B9620F5A2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E-412D-B7EF-CD815A2AFFED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E-412D-B7EF-CD815A2AFFED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E-412D-B7EF-CD815A2AFF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'Expansion %'!$A$25</c:f>
              <c:strCache>
                <c:ptCount val="1"/>
                <c:pt idx="0">
                  <c:v>24-25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'Expansion %'!$B$24:$M$24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'Expansion %'!$B$25:$M$25</c:f>
              <c:numCache>
                <c:formatCode>0.00%</c:formatCode>
                <c:ptCount val="12"/>
                <c:pt idx="0">
                  <c:v>4.1357370095440084E-2</c:v>
                </c:pt>
                <c:pt idx="1">
                  <c:v>3.215627347858753E-2</c:v>
                </c:pt>
                <c:pt idx="2">
                  <c:v>3.4580688272636148E-2</c:v>
                </c:pt>
                <c:pt idx="3">
                  <c:v>2.6581983615995085E-2</c:v>
                </c:pt>
                <c:pt idx="4">
                  <c:v>2.5184412057009685E-2</c:v>
                </c:pt>
                <c:pt idx="5">
                  <c:v>2.8973250815332387E-2</c:v>
                </c:pt>
                <c:pt idx="6">
                  <c:v>2.4504973015432398E-2</c:v>
                </c:pt>
                <c:pt idx="7">
                  <c:v>3.3376669286300675E-2</c:v>
                </c:pt>
                <c:pt idx="8">
                  <c:v>3.1462452548812025E-2</c:v>
                </c:pt>
                <c:pt idx="9">
                  <c:v>3.7394684176863764E-2</c:v>
                </c:pt>
                <c:pt idx="10">
                  <c:v>3.6166926911968905E-2</c:v>
                </c:pt>
                <c:pt idx="11">
                  <c:v>4.0203575243328765E-2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77-4153-B88A-A4445ADDC47D}"/>
            </c:ext>
          </c:extLst>
        </c:ser>
        <c:ser>
          <c:idx val="1"/>
          <c:order val="1"/>
          <c:tx>
            <c:strRef>
              <c:f>'Expansion %'!$A$26</c:f>
              <c:strCache>
                <c:ptCount val="1"/>
                <c:pt idx="0">
                  <c:v>23-24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'Expansion %'!$B$24:$M$24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'Expansion %'!$B$26:$M$26</c:f>
              <c:numCache>
                <c:formatCode>0.00%</c:formatCode>
                <c:ptCount val="12"/>
                <c:pt idx="0">
                  <c:v>5.0045289855072464E-2</c:v>
                </c:pt>
                <c:pt idx="1">
                  <c:v>4.4787497617686294E-2</c:v>
                </c:pt>
                <c:pt idx="2">
                  <c:v>3.5449299258037921E-2</c:v>
                </c:pt>
                <c:pt idx="3">
                  <c:v>2.8561415805151567E-2</c:v>
                </c:pt>
                <c:pt idx="4">
                  <c:v>2.7059773828756059E-2</c:v>
                </c:pt>
                <c:pt idx="5">
                  <c:v>3.1130749146414942E-2</c:v>
                </c:pt>
                <c:pt idx="6">
                  <c:v>2.6329740236790952E-2</c:v>
                </c:pt>
                <c:pt idx="7">
                  <c:v>3.5862068965517239E-2</c:v>
                </c:pt>
                <c:pt idx="8">
                  <c:v>3.3805309734513275E-2</c:v>
                </c:pt>
                <c:pt idx="9">
                  <c:v>4.0179286057307508E-2</c:v>
                </c:pt>
                <c:pt idx="10">
                  <c:v>3.8860103626943004E-2</c:v>
                </c:pt>
                <c:pt idx="11">
                  <c:v>4.3197341702049107E-2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77-4153-B88A-A4445ADDC47D}"/>
            </c:ext>
          </c:extLst>
        </c:ser>
        <c:ser>
          <c:idx val="2"/>
          <c:order val="2"/>
          <c:tx>
            <c:strRef>
              <c:f>'Expansion %'!$A$27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'Expansion %'!$B$24:$M$24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'Expansion %'!$B$27:$M$27</c:f>
              <c:numCache>
                <c:formatCode>0.00%</c:formatCode>
                <c:ptCount val="12"/>
                <c:pt idx="0">
                  <c:v>4.3095599393019726E-2</c:v>
                </c:pt>
                <c:pt idx="1">
                  <c:v>4.598214285714286E-2</c:v>
                </c:pt>
                <c:pt idx="2">
                  <c:v>3.8486209108402822E-2</c:v>
                </c:pt>
                <c:pt idx="3">
                  <c:v>0.04</c:v>
                </c:pt>
                <c:pt idx="4">
                  <c:v>2.8534088433892397E-2</c:v>
                </c:pt>
                <c:pt idx="5">
                  <c:v>2.9463500439753737E-2</c:v>
                </c:pt>
                <c:pt idx="6">
                  <c:v>3.9581624282198524E-2</c:v>
                </c:pt>
                <c:pt idx="7">
                  <c:v>3.069353327085286E-2</c:v>
                </c:pt>
                <c:pt idx="8">
                  <c:v>4.0668868703550784E-2</c:v>
                </c:pt>
                <c:pt idx="9">
                  <c:v>4.3621013133208257E-2</c:v>
                </c:pt>
                <c:pt idx="10">
                  <c:v>4.2843419788664745E-2</c:v>
                </c:pt>
                <c:pt idx="11">
                  <c:v>4.2851577717179588E-2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77-4153-B88A-A4445ADDC47D}"/>
            </c:ext>
          </c:extLst>
        </c:ser>
        <c:ser>
          <c:idx val="3"/>
          <c:order val="3"/>
          <c:tx>
            <c:strRef>
              <c:f>'Expansion %'!$A$28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'Expansion %'!$B$24:$M$24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'Expansion %'!$B$28:$M$28</c:f>
              <c:numCache>
                <c:formatCode>0.00%</c:formatCode>
                <c:ptCount val="12"/>
                <c:pt idx="0">
                  <c:v>2.7533460803059275E-2</c:v>
                </c:pt>
                <c:pt idx="1">
                  <c:v>2.2894838960031045E-2</c:v>
                </c:pt>
                <c:pt idx="2">
                  <c:v>1.7140468227424748E-2</c:v>
                </c:pt>
                <c:pt idx="3">
                  <c:v>4.3195718654434251E-2</c:v>
                </c:pt>
                <c:pt idx="4">
                  <c:v>3.2833400891771385E-2</c:v>
                </c:pt>
                <c:pt idx="5">
                  <c:v>2.7378964941569283E-2</c:v>
                </c:pt>
                <c:pt idx="6">
                  <c:v>3.4340091021928011E-2</c:v>
                </c:pt>
                <c:pt idx="7">
                  <c:v>3.4849128771780709E-2</c:v>
                </c:pt>
                <c:pt idx="8">
                  <c:v>3.5860333438188112E-2</c:v>
                </c:pt>
                <c:pt idx="9">
                  <c:v>3.0293159609120521E-2</c:v>
                </c:pt>
                <c:pt idx="10">
                  <c:v>3.2675709001233046E-2</c:v>
                </c:pt>
                <c:pt idx="11">
                  <c:v>3.4995866629925598E-2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77-4153-B88A-A4445ADDC47D}"/>
            </c:ext>
          </c:extLst>
        </c:ser>
        <c:ser>
          <c:idx val="4"/>
          <c:order val="4"/>
          <c:tx>
            <c:strRef>
              <c:f>'Expansion %'!$A$29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'Expansion %'!$B$24:$M$24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'Expansion %'!$B$29:$M$29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F9CC-4007-B83F-7A78F72EB5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'[1]Ridership Graph'!$A$25</c:f>
              <c:strCache>
                <c:ptCount val="1"/>
                <c:pt idx="0">
                  <c:v>20-21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Graph'!$B$25:$M$25</c:f>
              <c:numCache>
                <c:formatCode>General</c:formatCode>
                <c:ptCount val="12"/>
                <c:pt idx="0">
                  <c:v>4373</c:v>
                </c:pt>
                <c:pt idx="1">
                  <c:v>4166</c:v>
                </c:pt>
                <c:pt idx="2">
                  <c:v>4422</c:v>
                </c:pt>
                <c:pt idx="3">
                  <c:v>4902</c:v>
                </c:pt>
                <c:pt idx="4">
                  <c:v>4047</c:v>
                </c:pt>
                <c:pt idx="5">
                  <c:v>4997</c:v>
                </c:pt>
                <c:pt idx="6">
                  <c:v>3344</c:v>
                </c:pt>
                <c:pt idx="7">
                  <c:v>3266</c:v>
                </c:pt>
                <c:pt idx="8">
                  <c:v>4102</c:v>
                </c:pt>
                <c:pt idx="9">
                  <c:v>3956</c:v>
                </c:pt>
                <c:pt idx="10">
                  <c:v>3503</c:v>
                </c:pt>
                <c:pt idx="11">
                  <c:v>4179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02-400C-B959-7CFB557DBBA1}"/>
            </c:ext>
          </c:extLst>
        </c:ser>
        <c:ser>
          <c:idx val="1"/>
          <c:order val="1"/>
          <c:tx>
            <c:strRef>
              <c:f>'[1]Ridership Graph'!$A$26</c:f>
              <c:strCache>
                <c:ptCount val="1"/>
                <c:pt idx="0">
                  <c:v>21-22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Graph'!$B$26:$M$26</c:f>
              <c:numCache>
                <c:formatCode>General</c:formatCode>
                <c:ptCount val="12"/>
                <c:pt idx="0">
                  <c:v>4250</c:v>
                </c:pt>
                <c:pt idx="1">
                  <c:v>4200</c:v>
                </c:pt>
                <c:pt idx="2">
                  <c:v>3927</c:v>
                </c:pt>
                <c:pt idx="3">
                  <c:v>4539</c:v>
                </c:pt>
                <c:pt idx="4">
                  <c:v>4263</c:v>
                </c:pt>
                <c:pt idx="5">
                  <c:v>4686</c:v>
                </c:pt>
                <c:pt idx="6">
                  <c:v>4046</c:v>
                </c:pt>
                <c:pt idx="7">
                  <c:v>4081</c:v>
                </c:pt>
                <c:pt idx="8">
                  <c:v>5144</c:v>
                </c:pt>
                <c:pt idx="9">
                  <c:v>5037</c:v>
                </c:pt>
                <c:pt idx="10">
                  <c:v>5321</c:v>
                </c:pt>
                <c:pt idx="11">
                  <c:v>6059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02-400C-B959-7CFB557DBBA1}"/>
            </c:ext>
          </c:extLst>
        </c:ser>
        <c:ser>
          <c:idx val="2"/>
          <c:order val="2"/>
          <c:tx>
            <c:strRef>
              <c:f>'[1]Ridership Graph'!$A$27</c:f>
              <c:strCache>
                <c:ptCount val="1"/>
                <c:pt idx="0">
                  <c:v>22-23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'[1]Ridership Graph'!$B$24:$M$24</c:f>
              <c:strCache>
                <c:ptCount val="12"/>
                <c:pt idx="0">
                  <c:v>July</c:v>
                </c:pt>
                <c:pt idx="1">
                  <c:v>August</c:v>
                </c:pt>
                <c:pt idx="2">
                  <c:v>September</c:v>
                </c:pt>
                <c:pt idx="3">
                  <c:v>October</c:v>
                </c:pt>
                <c:pt idx="4">
                  <c:v>November</c:v>
                </c:pt>
                <c:pt idx="5">
                  <c:v>December</c:v>
                </c:pt>
                <c:pt idx="6">
                  <c:v>January</c:v>
                </c:pt>
                <c:pt idx="7">
                  <c:v>February</c:v>
                </c:pt>
                <c:pt idx="8">
                  <c:v>March</c:v>
                </c:pt>
                <c:pt idx="9">
                  <c:v>April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'[1]Ridership Graph'!$B$27:$M$27</c:f>
              <c:numCache>
                <c:formatCode>General</c:formatCode>
                <c:ptCount val="12"/>
                <c:pt idx="0">
                  <c:v>5438</c:v>
                </c:pt>
                <c:pt idx="1">
                  <c:v>7010</c:v>
                </c:pt>
                <c:pt idx="2">
                  <c:v>7284</c:v>
                </c:pt>
                <c:pt idx="3">
                  <c:v>8234</c:v>
                </c:pt>
                <c:pt idx="4">
                  <c:v>7628</c:v>
                </c:pt>
                <c:pt idx="5">
                  <c:v>7211</c:v>
                </c:pt>
                <c:pt idx="6">
                  <c:v>7731</c:v>
                </c:pt>
                <c:pt idx="7">
                  <c:v>6673</c:v>
                </c:pt>
                <c:pt idx="8">
                  <c:v>7524</c:v>
                </c:pt>
                <c:pt idx="9">
                  <c:v>7044</c:v>
                </c:pt>
                <c:pt idx="10">
                  <c:v>8126</c:v>
                </c:pt>
                <c:pt idx="11">
                  <c:v>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02-400C-B959-7CFB557DBB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0134528"/>
        <c:axId val="170156800"/>
      </c:barChart>
      <c:catAx>
        <c:axId val="17013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0156800"/>
        <c:crosses val="autoZero"/>
        <c:auto val="1"/>
        <c:lblAlgn val="ctr"/>
        <c:lblOffset val="100"/>
        <c:noMultiLvlLbl val="0"/>
      </c:catAx>
      <c:valAx>
        <c:axId val="170156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0134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2</xdr:row>
      <xdr:rowOff>114301</xdr:rowOff>
    </xdr:from>
    <xdr:to>
      <xdr:col>14</xdr:col>
      <xdr:colOff>819150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EBC3CE-9596-4BF8-AB70-F65EB459C9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114301</xdr:rowOff>
    </xdr:from>
    <xdr:to>
      <xdr:col>14</xdr:col>
      <xdr:colOff>295275</xdr:colOff>
      <xdr:row>21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85B49B5-0A90-4F57-826F-46A81749F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114300</xdr:rowOff>
    </xdr:from>
    <xdr:to>
      <xdr:col>15</xdr:col>
      <xdr:colOff>295275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E191BD-1E53-4E99-81E5-A56645DAB7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457201</xdr:colOff>
      <xdr:row>2</xdr:row>
      <xdr:rowOff>114300</xdr:rowOff>
    </xdr:from>
    <xdr:to>
      <xdr:col>14</xdr:col>
      <xdr:colOff>609601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BC539C-6E05-43E5-9137-A815A64EF2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114302</xdr:rowOff>
    </xdr:from>
    <xdr:to>
      <xdr:col>14</xdr:col>
      <xdr:colOff>609600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6205E0-DD2C-491F-A1FD-3837FD5FBF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2728EBC-8A33-4450-A2E4-3B30EA0D6B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40E623-D93F-481D-AEE9-98C3C6705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89B81A9-53BE-42C8-9321-D558823F2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7EEDDE-DD0B-484A-8803-56B3DB81B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AAD4F1-F0F8-4285-B194-5D09745D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AE05A32-1077-4E20-B8E7-B5F3A07E75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E1F5EA-1932-4498-9F3E-2D0BB0603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E10F2D9-C59D-4D47-BBAD-BFCC98CB5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5006E4-7F23-4D9C-940F-0A1D2F6CB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9B80690-ED0A-441E-A7C3-0A2678BBF2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6F5ACF-BB60-462B-B865-3ABBC8B074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2</xdr:row>
      <xdr:rowOff>85725</xdr:rowOff>
    </xdr:from>
    <xdr:to>
      <xdr:col>15</xdr:col>
      <xdr:colOff>38100</xdr:colOff>
      <xdr:row>21</xdr:row>
      <xdr:rowOff>171450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79BED0E-A62D-4E00-8EA4-AE6074E035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2</xdr:row>
      <xdr:rowOff>114300</xdr:rowOff>
    </xdr:from>
    <xdr:to>
      <xdr:col>15</xdr:col>
      <xdr:colOff>295275</xdr:colOff>
      <xdr:row>23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299574-E902-4B25-A589-CF58658675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/RIDERSHIP/Other/Transit%202021%20and%202022%20with%20projections%20and%20grap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Y 20-21"/>
      <sheetName val="Calendar 2021"/>
      <sheetName val="FY 21-22"/>
      <sheetName val="Calendar 2022"/>
      <sheetName val="FY 22-23"/>
      <sheetName val="Calendar 2023"/>
      <sheetName val="FY 23-24"/>
      <sheetName val="Calendar 2024"/>
      <sheetName val="Notes"/>
      <sheetName val="Ridership Grap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B24" t="str">
            <v>July</v>
          </cell>
          <cell r="C24" t="str">
            <v>August</v>
          </cell>
          <cell r="D24" t="str">
            <v>September</v>
          </cell>
          <cell r="E24" t="str">
            <v>October</v>
          </cell>
          <cell r="F24" t="str">
            <v>November</v>
          </cell>
          <cell r="G24" t="str">
            <v>December</v>
          </cell>
          <cell r="H24" t="str">
            <v>January</v>
          </cell>
          <cell r="I24" t="str">
            <v>February</v>
          </cell>
          <cell r="J24" t="str">
            <v>March</v>
          </cell>
          <cell r="K24" t="str">
            <v>April</v>
          </cell>
          <cell r="L24" t="str">
            <v>May</v>
          </cell>
          <cell r="M24" t="str">
            <v>June</v>
          </cell>
        </row>
        <row r="25">
          <cell r="A25" t="str">
            <v>20-21</v>
          </cell>
          <cell r="B25">
            <v>4373</v>
          </cell>
          <cell r="C25">
            <v>4166</v>
          </cell>
          <cell r="D25">
            <v>4422</v>
          </cell>
          <cell r="E25">
            <v>4902</v>
          </cell>
          <cell r="F25">
            <v>4047</v>
          </cell>
          <cell r="G25">
            <v>4997</v>
          </cell>
          <cell r="H25">
            <v>3344</v>
          </cell>
          <cell r="I25">
            <v>3266</v>
          </cell>
          <cell r="J25">
            <v>4102</v>
          </cell>
          <cell r="K25">
            <v>3956</v>
          </cell>
          <cell r="L25">
            <v>3503</v>
          </cell>
          <cell r="M25">
            <v>4179</v>
          </cell>
        </row>
        <row r="26">
          <cell r="A26" t="str">
            <v>21-22</v>
          </cell>
          <cell r="B26">
            <v>4250</v>
          </cell>
          <cell r="C26">
            <v>4200</v>
          </cell>
          <cell r="D26">
            <v>3927</v>
          </cell>
          <cell r="E26">
            <v>4539</v>
          </cell>
          <cell r="F26">
            <v>4263</v>
          </cell>
          <cell r="G26">
            <v>4686</v>
          </cell>
          <cell r="H26">
            <v>4046</v>
          </cell>
          <cell r="I26">
            <v>4081</v>
          </cell>
          <cell r="J26">
            <v>5144</v>
          </cell>
          <cell r="K26">
            <v>5037</v>
          </cell>
          <cell r="L26">
            <v>5321</v>
          </cell>
          <cell r="M26">
            <v>6059</v>
          </cell>
        </row>
        <row r="27">
          <cell r="A27" t="str">
            <v>22-23</v>
          </cell>
          <cell r="B27">
            <v>5438</v>
          </cell>
          <cell r="C27">
            <v>7010</v>
          </cell>
          <cell r="D27">
            <v>7284</v>
          </cell>
          <cell r="E27">
            <v>8234</v>
          </cell>
          <cell r="F27">
            <v>7628</v>
          </cell>
          <cell r="G27">
            <v>7211</v>
          </cell>
          <cell r="H27">
            <v>7731</v>
          </cell>
          <cell r="I27">
            <v>6673</v>
          </cell>
          <cell r="J27">
            <v>7524</v>
          </cell>
          <cell r="K27">
            <v>7044</v>
          </cell>
          <cell r="L27">
            <v>8126</v>
          </cell>
          <cell r="M27">
            <v>7936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F0000"/>
      </a:accent1>
      <a:accent2>
        <a:srgbClr val="0070C0"/>
      </a:accent2>
      <a:accent3>
        <a:srgbClr val="7030A0"/>
      </a:accent3>
      <a:accent4>
        <a:srgbClr val="FF9933"/>
      </a:accent4>
      <a:accent5>
        <a:srgbClr val="FFFF00"/>
      </a:accent5>
      <a:accent6>
        <a:srgbClr val="92D050"/>
      </a:accent6>
      <a:hlink>
        <a:srgbClr val="00B050"/>
      </a:hlink>
      <a:folHlink>
        <a:srgbClr val="00B0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014AA-24EB-44C7-994A-030335F6AC2C}">
  <sheetPr>
    <tabColor theme="5" tint="-0.249977111117893"/>
    <pageSetUpPr fitToPage="1"/>
  </sheetPr>
  <dimension ref="A1:S62"/>
  <sheetViews>
    <sheetView workbookViewId="0">
      <selection sqref="A1:O1"/>
    </sheetView>
  </sheetViews>
  <sheetFormatPr defaultRowHeight="15" x14ac:dyDescent="0.25"/>
  <cols>
    <col min="1" max="1" width="20.7109375" customWidth="1"/>
    <col min="2" max="14" width="10.7109375" customWidth="1"/>
    <col min="15" max="15" width="15.7109375" customWidth="1"/>
  </cols>
  <sheetData>
    <row r="1" spans="1:16" ht="21" customHeight="1" x14ac:dyDescent="0.35">
      <c r="A1" s="215" t="s">
        <v>183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7"/>
    </row>
    <row r="2" spans="1:16" ht="21" customHeight="1" x14ac:dyDescent="0.35">
      <c r="A2" s="215" t="s">
        <v>20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7"/>
    </row>
    <row r="3" spans="1:16" ht="21" x14ac:dyDescent="0.35">
      <c r="H3" s="4"/>
    </row>
    <row r="24" spans="1:19" x14ac:dyDescent="0.25">
      <c r="A24" s="67"/>
      <c r="B24" s="211" t="s">
        <v>9</v>
      </c>
      <c r="C24" s="213" t="s">
        <v>8</v>
      </c>
      <c r="D24" s="213"/>
      <c r="E24" s="213"/>
      <c r="F24" s="213" t="s">
        <v>26</v>
      </c>
      <c r="G24" s="213"/>
      <c r="H24" s="213"/>
      <c r="I24" s="213" t="s">
        <v>10</v>
      </c>
      <c r="J24" s="213"/>
      <c r="K24" s="213"/>
      <c r="L24" s="213" t="s">
        <v>9</v>
      </c>
      <c r="M24" s="213"/>
      <c r="N24" s="214"/>
      <c r="O24" s="119" t="s">
        <v>187</v>
      </c>
    </row>
    <row r="25" spans="1:19" s="5" customFormat="1" ht="15.75" x14ac:dyDescent="0.25">
      <c r="B25" s="33" t="s">
        <v>70</v>
      </c>
      <c r="C25" s="33" t="s">
        <v>81</v>
      </c>
      <c r="D25" s="33" t="s">
        <v>82</v>
      </c>
      <c r="E25" s="33" t="s">
        <v>104</v>
      </c>
      <c r="F25" s="33" t="s">
        <v>117</v>
      </c>
      <c r="G25" s="33" t="s">
        <v>124</v>
      </c>
      <c r="H25" s="33" t="s">
        <v>156</v>
      </c>
      <c r="I25" s="33" t="s">
        <v>161</v>
      </c>
      <c r="J25" s="33" t="s">
        <v>162</v>
      </c>
      <c r="K25" s="33" t="s">
        <v>166</v>
      </c>
      <c r="L25" s="33" t="s">
        <v>176</v>
      </c>
      <c r="M25" s="33" t="s">
        <v>182</v>
      </c>
      <c r="N25" s="55" t="s">
        <v>186</v>
      </c>
      <c r="O25" s="57" t="s">
        <v>77</v>
      </c>
      <c r="P25" s="87"/>
      <c r="Q25"/>
      <c r="R25"/>
      <c r="S25"/>
    </row>
    <row r="26" spans="1:19" ht="30" customHeight="1" x14ac:dyDescent="0.25">
      <c r="A26" s="10" t="s">
        <v>0</v>
      </c>
      <c r="B26" s="77">
        <f>SUM(B37+B50)</f>
        <v>5517</v>
      </c>
      <c r="C26" s="77">
        <f>SUM(C37+C50)</f>
        <v>6342</v>
      </c>
      <c r="D26" s="77">
        <f t="shared" ref="D26:L26" si="0">SUM(D37+D50)</f>
        <v>5372</v>
      </c>
      <c r="E26" s="77">
        <f t="shared" si="0"/>
        <v>5854</v>
      </c>
      <c r="F26" s="77">
        <f t="shared" si="0"/>
        <v>6274</v>
      </c>
      <c r="G26" s="77">
        <f t="shared" si="0"/>
        <v>6484</v>
      </c>
      <c r="H26" s="77">
        <f t="shared" si="0"/>
        <v>6481</v>
      </c>
      <c r="I26" s="77">
        <f t="shared" si="0"/>
        <v>6813</v>
      </c>
      <c r="J26" s="77">
        <f t="shared" si="0"/>
        <v>6730</v>
      </c>
      <c r="K26" s="77">
        <f t="shared" si="0"/>
        <v>6118</v>
      </c>
      <c r="L26" s="77">
        <f t="shared" si="0"/>
        <v>6180</v>
      </c>
      <c r="M26" s="77">
        <f>SUM(M37)</f>
        <v>6655</v>
      </c>
      <c r="N26" s="81">
        <f>N37</f>
        <v>5986</v>
      </c>
      <c r="O26" s="58">
        <f>SUM(C26:N26)</f>
        <v>75289</v>
      </c>
      <c r="P26" s="87"/>
      <c r="Q26" s="90"/>
      <c r="S26" s="90"/>
    </row>
    <row r="27" spans="1:19" ht="30" customHeight="1" x14ac:dyDescent="0.25">
      <c r="A27" s="70" t="s">
        <v>115</v>
      </c>
      <c r="B27" s="77">
        <f t="shared" ref="B27:J27" si="1">SUM(B38)</f>
        <v>761</v>
      </c>
      <c r="C27" s="77">
        <f t="shared" si="1"/>
        <v>713</v>
      </c>
      <c r="D27" s="77">
        <f t="shared" si="1"/>
        <v>667</v>
      </c>
      <c r="E27" s="77">
        <f t="shared" si="1"/>
        <v>769</v>
      </c>
      <c r="F27" s="77">
        <f t="shared" si="1"/>
        <v>801</v>
      </c>
      <c r="G27" s="77">
        <f t="shared" si="1"/>
        <v>720</v>
      </c>
      <c r="H27" s="77">
        <f t="shared" si="1"/>
        <v>639</v>
      </c>
      <c r="I27" s="77">
        <f t="shared" si="1"/>
        <v>778</v>
      </c>
      <c r="J27" s="77">
        <f t="shared" si="1"/>
        <v>645</v>
      </c>
      <c r="K27" s="77">
        <f t="shared" ref="K27:L27" si="2">SUM(K38)</f>
        <v>471</v>
      </c>
      <c r="L27" s="77">
        <f t="shared" si="2"/>
        <v>530</v>
      </c>
      <c r="M27" s="77">
        <f t="shared" ref="M27:N28" si="3">SUM(M38)</f>
        <v>620</v>
      </c>
      <c r="N27" s="81">
        <f t="shared" si="3"/>
        <v>521</v>
      </c>
      <c r="O27" s="58">
        <f>SUM(C27:N27)</f>
        <v>7874</v>
      </c>
      <c r="P27" s="87"/>
      <c r="Q27" s="90"/>
    </row>
    <row r="28" spans="1:19" ht="30" customHeight="1" x14ac:dyDescent="0.25">
      <c r="A28" s="11" t="s">
        <v>116</v>
      </c>
      <c r="B28" s="77">
        <f t="shared" ref="B28:J28" si="4">SUM(B39)</f>
        <v>512</v>
      </c>
      <c r="C28" s="77">
        <f t="shared" si="4"/>
        <v>568</v>
      </c>
      <c r="D28" s="77">
        <f t="shared" si="4"/>
        <v>593</v>
      </c>
      <c r="E28" s="77">
        <f t="shared" si="4"/>
        <v>512</v>
      </c>
      <c r="F28" s="77">
        <f t="shared" si="4"/>
        <v>664</v>
      </c>
      <c r="G28" s="77">
        <f t="shared" si="4"/>
        <v>636</v>
      </c>
      <c r="H28" s="77">
        <f t="shared" si="4"/>
        <v>568</v>
      </c>
      <c r="I28" s="77">
        <f t="shared" si="4"/>
        <v>659</v>
      </c>
      <c r="J28" s="77">
        <f t="shared" si="4"/>
        <v>567</v>
      </c>
      <c r="K28" s="77">
        <f t="shared" ref="K28:L28" si="5">SUM(K39)</f>
        <v>472</v>
      </c>
      <c r="L28" s="77">
        <f t="shared" si="5"/>
        <v>475</v>
      </c>
      <c r="M28" s="77">
        <f t="shared" si="3"/>
        <v>467</v>
      </c>
      <c r="N28" s="81">
        <f t="shared" si="3"/>
        <v>509</v>
      </c>
      <c r="O28" s="58">
        <f>SUM(C28:N28)</f>
        <v>6690</v>
      </c>
      <c r="P28" s="87"/>
      <c r="Q28" s="90"/>
    </row>
    <row r="29" spans="1:19" ht="30" customHeight="1" thickBot="1" x14ac:dyDescent="0.3">
      <c r="A29" s="13" t="s">
        <v>1</v>
      </c>
      <c r="B29" s="78">
        <f t="shared" ref="B29:J29" si="6">SUM(B40)</f>
        <v>1250</v>
      </c>
      <c r="C29" s="78">
        <f t="shared" si="6"/>
        <v>1499</v>
      </c>
      <c r="D29" s="78">
        <f t="shared" si="6"/>
        <v>1349</v>
      </c>
      <c r="E29" s="78">
        <f t="shared" si="6"/>
        <v>1222</v>
      </c>
      <c r="F29" s="78">
        <f t="shared" si="6"/>
        <v>1642</v>
      </c>
      <c r="G29" s="78">
        <f t="shared" si="6"/>
        <v>1593</v>
      </c>
      <c r="H29" s="78">
        <f t="shared" si="6"/>
        <v>1300</v>
      </c>
      <c r="I29" s="78">
        <f t="shared" si="6"/>
        <v>1605</v>
      </c>
      <c r="J29" s="78">
        <f t="shared" si="6"/>
        <v>1542</v>
      </c>
      <c r="K29" s="78">
        <f t="shared" ref="K29:L29" si="7">SUM(K40)</f>
        <v>1096</v>
      </c>
      <c r="L29" s="78">
        <f t="shared" si="7"/>
        <v>1105</v>
      </c>
      <c r="M29" s="78">
        <f t="shared" ref="M29:N29" si="8">SUM(M40)</f>
        <v>1135</v>
      </c>
      <c r="N29" s="82">
        <f t="shared" si="8"/>
        <v>1250</v>
      </c>
      <c r="O29" s="59">
        <f>SUM(C29:N29)</f>
        <v>16338</v>
      </c>
      <c r="P29" s="87"/>
      <c r="Q29" s="90"/>
    </row>
    <row r="30" spans="1:19" ht="30" customHeight="1" x14ac:dyDescent="0.25">
      <c r="A30" s="15" t="s">
        <v>2</v>
      </c>
      <c r="B30" s="79">
        <f t="shared" ref="B30:M30" si="9">SUM(B26:B29)</f>
        <v>8040</v>
      </c>
      <c r="C30" s="79">
        <f t="shared" si="9"/>
        <v>9122</v>
      </c>
      <c r="D30" s="79">
        <f t="shared" si="9"/>
        <v>7981</v>
      </c>
      <c r="E30" s="79">
        <f t="shared" si="9"/>
        <v>8357</v>
      </c>
      <c r="F30" s="79">
        <f t="shared" si="9"/>
        <v>9381</v>
      </c>
      <c r="G30" s="79">
        <f t="shared" si="9"/>
        <v>9433</v>
      </c>
      <c r="H30" s="79">
        <f t="shared" si="9"/>
        <v>8988</v>
      </c>
      <c r="I30" s="79">
        <f t="shared" si="9"/>
        <v>9855</v>
      </c>
      <c r="J30" s="79">
        <f t="shared" si="9"/>
        <v>9484</v>
      </c>
      <c r="K30" s="79">
        <f t="shared" si="9"/>
        <v>8157</v>
      </c>
      <c r="L30" s="79">
        <f t="shared" si="9"/>
        <v>8290</v>
      </c>
      <c r="M30" s="79">
        <f t="shared" si="9"/>
        <v>8877</v>
      </c>
      <c r="N30" s="83">
        <f t="shared" ref="N30" si="10">SUM(N26:N29)</f>
        <v>8266</v>
      </c>
      <c r="O30" s="60">
        <f>SUM(C30:N30)</f>
        <v>106191</v>
      </c>
      <c r="P30" s="210"/>
      <c r="Q30" s="90"/>
    </row>
    <row r="31" spans="1:19" ht="9.9499999999999993" customHeight="1" x14ac:dyDescent="0.25">
      <c r="A31" s="17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4"/>
      <c r="O31" s="58"/>
      <c r="P31" s="3"/>
    </row>
    <row r="32" spans="1:19" ht="30" customHeight="1" x14ac:dyDescent="0.25">
      <c r="A32" s="12" t="s">
        <v>22</v>
      </c>
      <c r="B32" s="80">
        <f>SUM(B42+B62)</f>
        <v>1849.51</v>
      </c>
      <c r="C32" s="80">
        <f>SUM(C42+C62)</f>
        <v>1638.2199999999998</v>
      </c>
      <c r="D32" s="80">
        <f t="shared" ref="D32:L32" si="11">SUM(D42+D62)</f>
        <v>1786.5800000000002</v>
      </c>
      <c r="E32" s="80">
        <f t="shared" si="11"/>
        <v>1689.02</v>
      </c>
      <c r="F32" s="80">
        <f t="shared" si="11"/>
        <v>1651.8100000000002</v>
      </c>
      <c r="G32" s="80">
        <f t="shared" si="11"/>
        <v>1786.96</v>
      </c>
      <c r="H32" s="80">
        <f t="shared" si="11"/>
        <v>1701.47</v>
      </c>
      <c r="I32" s="80">
        <f t="shared" si="11"/>
        <v>1729.0900000000001</v>
      </c>
      <c r="J32" s="80">
        <f t="shared" si="11"/>
        <v>1691.48</v>
      </c>
      <c r="K32" s="80">
        <f t="shared" si="11"/>
        <v>1518.1399999999999</v>
      </c>
      <c r="L32" s="80">
        <f t="shared" si="11"/>
        <v>1610.61</v>
      </c>
      <c r="M32" s="80">
        <f t="shared" ref="M32:N32" si="12">SUM(M42+M62)</f>
        <v>1630.75</v>
      </c>
      <c r="N32" s="85">
        <f t="shared" si="12"/>
        <v>1474.47</v>
      </c>
      <c r="O32" s="61">
        <f>SUM(C32:N32)</f>
        <v>19908.599999999999</v>
      </c>
      <c r="P32" s="3"/>
    </row>
    <row r="33" spans="1:18" ht="30" customHeight="1" x14ac:dyDescent="0.25">
      <c r="A33" s="12" t="s">
        <v>23</v>
      </c>
      <c r="B33" s="77">
        <f>SUM(B43+B56)</f>
        <v>40767</v>
      </c>
      <c r="C33" s="77">
        <f>SUM(C43+C56)</f>
        <v>35944</v>
      </c>
      <c r="D33" s="77">
        <f t="shared" ref="D33:L33" si="13">SUM(D43+D56)</f>
        <v>39597</v>
      </c>
      <c r="E33" s="77">
        <f t="shared" si="13"/>
        <v>37670</v>
      </c>
      <c r="F33" s="77">
        <f t="shared" si="13"/>
        <v>36565</v>
      </c>
      <c r="G33" s="77">
        <f t="shared" si="13"/>
        <v>39876</v>
      </c>
      <c r="H33" s="77">
        <f t="shared" si="13"/>
        <v>37828</v>
      </c>
      <c r="I33" s="77">
        <f t="shared" si="13"/>
        <v>38451</v>
      </c>
      <c r="J33" s="77">
        <f t="shared" si="13"/>
        <v>37128</v>
      </c>
      <c r="K33" s="77">
        <f t="shared" si="13"/>
        <v>32477</v>
      </c>
      <c r="L33" s="77">
        <f t="shared" si="13"/>
        <v>34978</v>
      </c>
      <c r="M33" s="77">
        <f t="shared" ref="M33:N33" si="14">SUM(M43+M56)</f>
        <v>35208</v>
      </c>
      <c r="N33" s="81">
        <f t="shared" si="14"/>
        <v>32011</v>
      </c>
      <c r="O33" s="58">
        <f>SUM(C33:N33)</f>
        <v>437733</v>
      </c>
      <c r="P33" s="3"/>
    </row>
    <row r="34" spans="1:18" ht="30" customHeight="1" x14ac:dyDescent="0.25">
      <c r="A34" s="47" t="s">
        <v>24</v>
      </c>
      <c r="B34" s="80">
        <f t="shared" ref="B34:M34" si="15">SUM(B30/B32)</f>
        <v>4.3470973392952725</v>
      </c>
      <c r="C34" s="80">
        <f t="shared" si="15"/>
        <v>5.5682386980991572</v>
      </c>
      <c r="D34" s="80">
        <f t="shared" si="15"/>
        <v>4.4671943042013229</v>
      </c>
      <c r="E34" s="80">
        <f t="shared" si="15"/>
        <v>4.9478395756118934</v>
      </c>
      <c r="F34" s="80">
        <f t="shared" si="15"/>
        <v>5.6792246081571118</v>
      </c>
      <c r="G34" s="80">
        <f t="shared" si="15"/>
        <v>5.2787975108564265</v>
      </c>
      <c r="H34" s="80">
        <f t="shared" si="15"/>
        <v>5.2824910224688066</v>
      </c>
      <c r="I34" s="80">
        <f t="shared" si="15"/>
        <v>5.6995298104783441</v>
      </c>
      <c r="J34" s="80">
        <f t="shared" si="15"/>
        <v>5.6069241137938377</v>
      </c>
      <c r="K34" s="80">
        <f t="shared" si="15"/>
        <v>5.3730222509123013</v>
      </c>
      <c r="L34" s="80">
        <f t="shared" si="15"/>
        <v>5.1471181726178283</v>
      </c>
      <c r="M34" s="80">
        <f t="shared" si="15"/>
        <v>5.4435075885328841</v>
      </c>
      <c r="N34" s="85">
        <f t="shared" ref="N34" si="16">SUM(N30/N32)</f>
        <v>5.6060821854632508</v>
      </c>
      <c r="O34" s="61">
        <f t="shared" ref="O34" si="17">SUM(O30/O32)</f>
        <v>5.3339260420119956</v>
      </c>
      <c r="P34" s="3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2"/>
      <c r="P35" s="3"/>
    </row>
    <row r="36" spans="1:18" x14ac:dyDescent="0.25">
      <c r="A36" s="1" t="s">
        <v>101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3"/>
    </row>
    <row r="37" spans="1:18" hidden="1" x14ac:dyDescent="0.25">
      <c r="A37" s="10" t="s">
        <v>0</v>
      </c>
      <c r="B37" s="77">
        <v>5478</v>
      </c>
      <c r="C37" s="77">
        <v>6270</v>
      </c>
      <c r="D37" s="77">
        <v>5311</v>
      </c>
      <c r="E37" s="77">
        <v>5728</v>
      </c>
      <c r="F37" s="77">
        <v>6181</v>
      </c>
      <c r="G37" s="77">
        <v>6373</v>
      </c>
      <c r="H37" s="77">
        <v>6368</v>
      </c>
      <c r="I37" s="77">
        <v>6763</v>
      </c>
      <c r="J37" s="77">
        <v>6677</v>
      </c>
      <c r="K37" s="77">
        <v>6080</v>
      </c>
      <c r="L37" s="77">
        <v>6122</v>
      </c>
      <c r="M37" s="77">
        <v>6655</v>
      </c>
      <c r="N37" s="81">
        <v>5986</v>
      </c>
      <c r="O37" s="58">
        <f t="shared" ref="O37:O43" si="18">SUM(C37:N37)</f>
        <v>74514</v>
      </c>
      <c r="P37" s="1">
        <f>SUM(B37:M37)</f>
        <v>74006</v>
      </c>
      <c r="Q37" s="162" t="s">
        <v>102</v>
      </c>
    </row>
    <row r="38" spans="1:18" hidden="1" x14ac:dyDescent="0.25">
      <c r="A38" s="70" t="s">
        <v>163</v>
      </c>
      <c r="B38" s="77">
        <f>404+357</f>
        <v>761</v>
      </c>
      <c r="C38" s="77">
        <f>366+347</f>
        <v>713</v>
      </c>
      <c r="D38" s="77">
        <f>340+327</f>
        <v>667</v>
      </c>
      <c r="E38" s="77">
        <f>398+371</f>
        <v>769</v>
      </c>
      <c r="F38" s="77">
        <f>425+376</f>
        <v>801</v>
      </c>
      <c r="G38" s="77">
        <f>406+314</f>
        <v>720</v>
      </c>
      <c r="H38" s="77">
        <f>323+316</f>
        <v>639</v>
      </c>
      <c r="I38" s="77">
        <f>384+394</f>
        <v>778</v>
      </c>
      <c r="J38" s="77">
        <f>344+301</f>
        <v>645</v>
      </c>
      <c r="K38" s="77">
        <v>471</v>
      </c>
      <c r="L38" s="77">
        <v>530</v>
      </c>
      <c r="M38" s="77">
        <v>620</v>
      </c>
      <c r="N38" s="81">
        <v>521</v>
      </c>
      <c r="O38" s="58">
        <f t="shared" si="18"/>
        <v>7874</v>
      </c>
      <c r="P38" s="1">
        <f>SUM(B38:M38)</f>
        <v>8114</v>
      </c>
      <c r="Q38" s="162"/>
    </row>
    <row r="39" spans="1:18" hidden="1" x14ac:dyDescent="0.25">
      <c r="A39" s="11" t="s">
        <v>164</v>
      </c>
      <c r="B39" s="77">
        <f>269+243</f>
        <v>512</v>
      </c>
      <c r="C39" s="77">
        <f>323+245</f>
        <v>568</v>
      </c>
      <c r="D39" s="77">
        <f>328+265</f>
        <v>593</v>
      </c>
      <c r="E39" s="77">
        <f>316+196</f>
        <v>512</v>
      </c>
      <c r="F39" s="77">
        <f>365+299</f>
        <v>664</v>
      </c>
      <c r="G39" s="77">
        <f>346+290</f>
        <v>636</v>
      </c>
      <c r="H39" s="77">
        <f>312+256</f>
        <v>568</v>
      </c>
      <c r="I39" s="77">
        <f>334+325</f>
        <v>659</v>
      </c>
      <c r="J39" s="77">
        <f>280+287</f>
        <v>567</v>
      </c>
      <c r="K39" s="77">
        <v>472</v>
      </c>
      <c r="L39" s="77">
        <v>475</v>
      </c>
      <c r="M39" s="77">
        <v>467</v>
      </c>
      <c r="N39" s="81">
        <v>509</v>
      </c>
      <c r="O39" s="58">
        <f t="shared" si="18"/>
        <v>6690</v>
      </c>
      <c r="P39" s="1">
        <f>SUM(B39:M39)</f>
        <v>6693</v>
      </c>
      <c r="Q39" s="159"/>
    </row>
    <row r="40" spans="1:18" ht="15.75" hidden="1" thickBot="1" x14ac:dyDescent="0.3">
      <c r="A40" s="13" t="s">
        <v>100</v>
      </c>
      <c r="B40" s="78">
        <v>1250</v>
      </c>
      <c r="C40" s="78">
        <v>1499</v>
      </c>
      <c r="D40" s="78">
        <v>1349</v>
      </c>
      <c r="E40" s="78">
        <v>1222</v>
      </c>
      <c r="F40" s="78">
        <v>1642</v>
      </c>
      <c r="G40" s="78">
        <v>1593</v>
      </c>
      <c r="H40" s="78">
        <v>1300</v>
      </c>
      <c r="I40" s="78">
        <v>1605</v>
      </c>
      <c r="J40" s="78">
        <v>1542</v>
      </c>
      <c r="K40" s="78">
        <v>1096</v>
      </c>
      <c r="L40" s="78">
        <v>1105</v>
      </c>
      <c r="M40" s="78">
        <v>1135</v>
      </c>
      <c r="N40" s="82">
        <v>1250</v>
      </c>
      <c r="O40" s="59">
        <f t="shared" si="18"/>
        <v>16338</v>
      </c>
      <c r="P40" s="1">
        <f>SUM(B40:M40)</f>
        <v>16338</v>
      </c>
      <c r="Q40" s="159"/>
    </row>
    <row r="41" spans="1:18" ht="16.5" hidden="1" thickTop="1" thickBot="1" x14ac:dyDescent="0.3">
      <c r="A41" s="156" t="s">
        <v>95</v>
      </c>
      <c r="B41" s="157">
        <f t="shared" ref="B41:L41" si="19">SUM(B37:B40)</f>
        <v>8001</v>
      </c>
      <c r="C41" s="157">
        <f t="shared" si="19"/>
        <v>9050</v>
      </c>
      <c r="D41" s="157">
        <f t="shared" si="19"/>
        <v>7920</v>
      </c>
      <c r="E41" s="157">
        <f t="shared" si="19"/>
        <v>8231</v>
      </c>
      <c r="F41" s="157">
        <f t="shared" si="19"/>
        <v>9288</v>
      </c>
      <c r="G41" s="157">
        <f t="shared" si="19"/>
        <v>9322</v>
      </c>
      <c r="H41" s="157">
        <f t="shared" si="19"/>
        <v>8875</v>
      </c>
      <c r="I41" s="157">
        <f t="shared" si="19"/>
        <v>9805</v>
      </c>
      <c r="J41" s="157">
        <f t="shared" si="19"/>
        <v>9431</v>
      </c>
      <c r="K41" s="157">
        <f t="shared" si="19"/>
        <v>8119</v>
      </c>
      <c r="L41" s="157">
        <f t="shared" si="19"/>
        <v>8232</v>
      </c>
      <c r="M41" s="157">
        <f>SUM(M37:M40)</f>
        <v>8877</v>
      </c>
      <c r="N41" s="157">
        <f>SUM(N37:N40)</f>
        <v>8266</v>
      </c>
      <c r="O41" s="158">
        <f t="shared" si="18"/>
        <v>105416</v>
      </c>
      <c r="P41" s="3"/>
      <c r="Q41" s="159"/>
    </row>
    <row r="42" spans="1:18" ht="30.75" hidden="1" thickTop="1" x14ac:dyDescent="0.25">
      <c r="A42" s="152" t="s">
        <v>22</v>
      </c>
      <c r="B42" s="153">
        <v>1829.41</v>
      </c>
      <c r="C42" s="153">
        <v>1615.6</v>
      </c>
      <c r="D42" s="153">
        <v>1764.89</v>
      </c>
      <c r="E42" s="153">
        <v>1667.75</v>
      </c>
      <c r="F42" s="153">
        <v>1628.39</v>
      </c>
      <c r="G42" s="153">
        <v>1764.41</v>
      </c>
      <c r="H42" s="153">
        <v>1680.3</v>
      </c>
      <c r="I42" s="153">
        <v>1706.68</v>
      </c>
      <c r="J42" s="153">
        <v>1670.78</v>
      </c>
      <c r="K42" s="153">
        <v>1498.87</v>
      </c>
      <c r="L42" s="153">
        <v>1592.3</v>
      </c>
      <c r="M42" s="153">
        <v>1612.53</v>
      </c>
      <c r="N42" s="154">
        <v>1456.82</v>
      </c>
      <c r="O42" s="155">
        <f t="shared" si="18"/>
        <v>19659.32</v>
      </c>
      <c r="P42" s="3"/>
      <c r="Q42" s="159"/>
    </row>
    <row r="43" spans="1:18" ht="30" hidden="1" x14ac:dyDescent="0.25">
      <c r="A43" s="12" t="s">
        <v>23</v>
      </c>
      <c r="B43" s="77">
        <v>40354</v>
      </c>
      <c r="C43" s="77">
        <v>35534</v>
      </c>
      <c r="D43" s="77">
        <v>39188</v>
      </c>
      <c r="E43" s="77">
        <v>37270</v>
      </c>
      <c r="F43" s="77">
        <v>36131</v>
      </c>
      <c r="G43" s="77">
        <v>39433</v>
      </c>
      <c r="H43" s="77">
        <v>37444</v>
      </c>
      <c r="I43" s="77">
        <v>37953</v>
      </c>
      <c r="J43" s="77">
        <v>36711</v>
      </c>
      <c r="K43" s="77">
        <v>32102</v>
      </c>
      <c r="L43" s="77">
        <v>34580</v>
      </c>
      <c r="M43" s="77">
        <v>34809</v>
      </c>
      <c r="N43" s="81">
        <v>31672</v>
      </c>
      <c r="O43" s="58">
        <f t="shared" si="18"/>
        <v>432827</v>
      </c>
      <c r="P43" s="3"/>
      <c r="Q43" s="159"/>
    </row>
    <row r="44" spans="1:18" hidden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"/>
      <c r="Q44" s="159"/>
    </row>
    <row r="45" spans="1:18" hidden="1" x14ac:dyDescent="0.25">
      <c r="A45" s="130" t="s">
        <v>99</v>
      </c>
      <c r="C45" s="1"/>
      <c r="D45" s="1"/>
      <c r="E45" s="1"/>
      <c r="Q45" s="159"/>
    </row>
    <row r="46" spans="1:18" ht="15.75" hidden="1" x14ac:dyDescent="0.25">
      <c r="A46" s="12" t="s">
        <v>96</v>
      </c>
      <c r="B46" s="33" t="s">
        <v>70</v>
      </c>
      <c r="C46" s="33" t="s">
        <v>81</v>
      </c>
      <c r="D46" s="33" t="s">
        <v>82</v>
      </c>
      <c r="E46" s="33" t="s">
        <v>104</v>
      </c>
      <c r="F46" s="33" t="s">
        <v>117</v>
      </c>
      <c r="G46" s="33" t="s">
        <v>124</v>
      </c>
      <c r="H46" s="33" t="s">
        <v>156</v>
      </c>
      <c r="I46" s="33" t="s">
        <v>161</v>
      </c>
      <c r="J46" s="33" t="s">
        <v>162</v>
      </c>
      <c r="K46" s="33" t="s">
        <v>166</v>
      </c>
      <c r="L46" s="33" t="s">
        <v>176</v>
      </c>
      <c r="M46" s="33" t="s">
        <v>182</v>
      </c>
      <c r="N46" s="55" t="s">
        <v>186</v>
      </c>
      <c r="O46" s="132" t="s">
        <v>95</v>
      </c>
      <c r="Q46" s="159"/>
    </row>
    <row r="47" spans="1:18" hidden="1" x14ac:dyDescent="0.25">
      <c r="A47" s="12" t="s">
        <v>84</v>
      </c>
      <c r="B47" s="131">
        <f>SUM('Sunshine Park'!B41)</f>
        <v>26</v>
      </c>
      <c r="C47" s="131">
        <f>SUM('Sunshine Park'!C41)</f>
        <v>30</v>
      </c>
      <c r="D47" s="131">
        <f>SUM('Sunshine Park'!D41)</f>
        <v>27</v>
      </c>
      <c r="E47" s="131">
        <f>SUM('Sunshine Park'!E41)</f>
        <v>56</v>
      </c>
      <c r="F47" s="131">
        <f>SUM('Sunshine Park'!F41)</f>
        <v>50</v>
      </c>
      <c r="G47" s="131">
        <f>SUM('Sunshine Park'!G41)</f>
        <v>59</v>
      </c>
      <c r="H47" s="131">
        <f>SUM('Sunshine Park'!H41)</f>
        <v>52</v>
      </c>
      <c r="I47" s="131">
        <f>SUM('Sunshine Park'!I41)</f>
        <v>27</v>
      </c>
      <c r="J47" s="131">
        <f>SUM('Sunshine Park'!J41)</f>
        <v>34</v>
      </c>
      <c r="K47" s="131">
        <f>SUM('Sunshine Park'!K41)</f>
        <v>17</v>
      </c>
      <c r="L47" s="131">
        <f>SUM('Sunshine Park'!L41)</f>
        <v>23</v>
      </c>
      <c r="M47" s="131">
        <f>SUM('Sunshine Park'!M41)</f>
        <v>24</v>
      </c>
      <c r="N47" s="179">
        <f>SUM('Sunshine Park'!N41)</f>
        <v>22</v>
      </c>
      <c r="O47" s="135">
        <f>SUM(C47:N47)</f>
        <v>421</v>
      </c>
      <c r="P47">
        <f>SUM(B47:N47)</f>
        <v>447</v>
      </c>
      <c r="Q47" s="159"/>
      <c r="R47">
        <f>SUM('Sunshine Park'!O41)</f>
        <v>447</v>
      </c>
    </row>
    <row r="48" spans="1:18" hidden="1" x14ac:dyDescent="0.25">
      <c r="A48" s="12" t="s">
        <v>85</v>
      </c>
      <c r="B48" s="131">
        <f>SUM('Sunshine Park'!B42)</f>
        <v>10</v>
      </c>
      <c r="C48" s="131">
        <f>SUM('Sunshine Park'!C42)</f>
        <v>25</v>
      </c>
      <c r="D48" s="131">
        <f>SUM('Sunshine Park'!D42)</f>
        <v>23</v>
      </c>
      <c r="E48" s="131">
        <f>SUM('Sunshine Park'!E42)</f>
        <v>39</v>
      </c>
      <c r="F48" s="131">
        <f>SUM('Sunshine Park'!F42)</f>
        <v>28</v>
      </c>
      <c r="G48" s="131">
        <f>SUM('Sunshine Park'!G42)</f>
        <v>32</v>
      </c>
      <c r="H48" s="131">
        <f>SUM('Sunshine Park'!H42)</f>
        <v>54</v>
      </c>
      <c r="I48" s="131">
        <f>SUM('Sunshine Park'!I42)</f>
        <v>21</v>
      </c>
      <c r="J48" s="131">
        <f>SUM('Sunshine Park'!J42)</f>
        <v>19</v>
      </c>
      <c r="K48" s="131">
        <f>SUM('Sunshine Park'!K42)</f>
        <v>17</v>
      </c>
      <c r="L48" s="131">
        <f>SUM('Sunshine Park'!L42)</f>
        <v>29</v>
      </c>
      <c r="M48" s="131">
        <f>SUM('Sunshine Park'!M42)</f>
        <v>34</v>
      </c>
      <c r="N48" s="179">
        <f>SUM('Sunshine Park'!N42)</f>
        <v>17</v>
      </c>
      <c r="O48" s="135">
        <f>SUM(C48:N48)</f>
        <v>338</v>
      </c>
      <c r="P48">
        <f>SUM(B48:N48)</f>
        <v>348</v>
      </c>
      <c r="Q48" s="159"/>
      <c r="R48">
        <f>SUM('Sunshine Park'!O42)</f>
        <v>348</v>
      </c>
    </row>
    <row r="49" spans="1:18" ht="15.75" hidden="1" thickBot="1" x14ac:dyDescent="0.3">
      <c r="A49" s="142" t="s">
        <v>86</v>
      </c>
      <c r="B49" s="131">
        <f>SUM('Sunshine Park'!B43)</f>
        <v>3</v>
      </c>
      <c r="C49" s="131">
        <f>SUM('Sunshine Park'!C43)</f>
        <v>17</v>
      </c>
      <c r="D49" s="131">
        <f>SUM('Sunshine Park'!D43)</f>
        <v>11</v>
      </c>
      <c r="E49" s="131">
        <f>SUM('Sunshine Park'!E43)</f>
        <v>31</v>
      </c>
      <c r="F49" s="131">
        <f>SUM('Sunshine Park'!F43)</f>
        <v>15</v>
      </c>
      <c r="G49" s="131">
        <f>SUM('Sunshine Park'!G43)</f>
        <v>20</v>
      </c>
      <c r="H49" s="131">
        <f>SUM('Sunshine Park'!H43)</f>
        <v>7</v>
      </c>
      <c r="I49" s="131">
        <f>SUM('Sunshine Park'!I43)</f>
        <v>2</v>
      </c>
      <c r="J49" s="131">
        <f>SUM('Sunshine Park'!J43)</f>
        <v>0</v>
      </c>
      <c r="K49" s="131">
        <f>SUM('Sunshine Park'!K43)</f>
        <v>4</v>
      </c>
      <c r="L49" s="131">
        <f>SUM('Sunshine Park'!L43)</f>
        <v>6</v>
      </c>
      <c r="M49" s="131">
        <f>SUM('Sunshine Park'!M43)</f>
        <v>8</v>
      </c>
      <c r="N49" s="179">
        <f>SUM('Sunshine Park'!N43)</f>
        <v>7</v>
      </c>
      <c r="O49" s="135">
        <f>SUM(C49:N49)</f>
        <v>128</v>
      </c>
      <c r="P49">
        <f>SUM(B49:N49)</f>
        <v>131</v>
      </c>
      <c r="Q49" s="159"/>
      <c r="R49">
        <f>SUM('Sunshine Park'!O43)</f>
        <v>131</v>
      </c>
    </row>
    <row r="50" spans="1:18" hidden="1" x14ac:dyDescent="0.25">
      <c r="A50" s="143" t="s">
        <v>95</v>
      </c>
      <c r="B50" s="139">
        <f t="shared" ref="B50:M50" si="20">SUM(B47:B49)</f>
        <v>39</v>
      </c>
      <c r="C50" s="139">
        <f t="shared" si="20"/>
        <v>72</v>
      </c>
      <c r="D50" s="139">
        <f t="shared" si="20"/>
        <v>61</v>
      </c>
      <c r="E50" s="139">
        <f t="shared" si="20"/>
        <v>126</v>
      </c>
      <c r="F50" s="139">
        <f t="shared" si="20"/>
        <v>93</v>
      </c>
      <c r="G50" s="139">
        <f t="shared" si="20"/>
        <v>111</v>
      </c>
      <c r="H50" s="139">
        <f t="shared" si="20"/>
        <v>113</v>
      </c>
      <c r="I50" s="139">
        <f t="shared" si="20"/>
        <v>50</v>
      </c>
      <c r="J50" s="139">
        <f t="shared" si="20"/>
        <v>53</v>
      </c>
      <c r="K50" s="139">
        <f t="shared" si="20"/>
        <v>38</v>
      </c>
      <c r="L50" s="140">
        <f t="shared" si="20"/>
        <v>58</v>
      </c>
      <c r="M50" s="140">
        <f t="shared" si="20"/>
        <v>66</v>
      </c>
      <c r="N50" s="165">
        <f t="shared" ref="N50:O50" si="21">SUM(N47:N49)</f>
        <v>46</v>
      </c>
      <c r="O50" s="141">
        <f t="shared" si="21"/>
        <v>887</v>
      </c>
      <c r="P50" s="90">
        <f>SUM(O26-O37)+N50</f>
        <v>821</v>
      </c>
      <c r="Q50" s="159"/>
    </row>
    <row r="51" spans="1:18" hidden="1" x14ac:dyDescent="0.25">
      <c r="Q51" s="159"/>
    </row>
    <row r="52" spans="1:18" ht="15.75" hidden="1" x14ac:dyDescent="0.25">
      <c r="A52" s="12" t="s">
        <v>97</v>
      </c>
      <c r="B52" s="33" t="s">
        <v>70</v>
      </c>
      <c r="C52" s="33" t="s">
        <v>81</v>
      </c>
      <c r="D52" s="33" t="s">
        <v>82</v>
      </c>
      <c r="E52" s="33" t="s">
        <v>104</v>
      </c>
      <c r="F52" s="33" t="s">
        <v>117</v>
      </c>
      <c r="G52" s="33" t="s">
        <v>124</v>
      </c>
      <c r="H52" s="33" t="s">
        <v>156</v>
      </c>
      <c r="I52" s="33" t="s">
        <v>161</v>
      </c>
      <c r="J52" s="33" t="s">
        <v>162</v>
      </c>
      <c r="K52" s="33" t="s">
        <v>166</v>
      </c>
      <c r="L52" s="33" t="s">
        <v>176</v>
      </c>
      <c r="M52" s="33" t="s">
        <v>182</v>
      </c>
      <c r="N52" s="55" t="s">
        <v>186</v>
      </c>
      <c r="O52" s="132" t="s">
        <v>95</v>
      </c>
      <c r="Q52" s="159"/>
    </row>
    <row r="53" spans="1:18" hidden="1" x14ac:dyDescent="0.25">
      <c r="A53" s="12" t="s">
        <v>92</v>
      </c>
      <c r="B53" s="131">
        <f>SUM('Sunshine Park'!B48)</f>
        <v>154</v>
      </c>
      <c r="C53" s="131">
        <f>SUM('Sunshine Park'!C48)</f>
        <v>165</v>
      </c>
      <c r="D53" s="131">
        <f>SUM('Sunshine Park'!D48)</f>
        <v>161</v>
      </c>
      <c r="E53" s="131">
        <f>SUM('Sunshine Park'!E48)</f>
        <v>153</v>
      </c>
      <c r="F53" s="131">
        <f>SUM('Sunshine Park'!F48)</f>
        <v>167</v>
      </c>
      <c r="G53" s="131">
        <f>SUM('Sunshine Park'!G48)</f>
        <v>158</v>
      </c>
      <c r="H53" s="131">
        <f>SUM('Sunshine Park'!H48)</f>
        <v>151</v>
      </c>
      <c r="I53" s="131">
        <f>SUM('Sunshine Park'!I48)</f>
        <v>157</v>
      </c>
      <c r="J53" s="131">
        <f>SUM('Sunshine Park'!J48)</f>
        <v>161</v>
      </c>
      <c r="K53" s="131">
        <f>SUM('Sunshine Park'!K48)</f>
        <v>151</v>
      </c>
      <c r="L53" s="131">
        <f>SUM('Sunshine Park'!L48)</f>
        <v>145</v>
      </c>
      <c r="M53" s="131">
        <f>SUM('Sunshine Park'!M48)</f>
        <v>137</v>
      </c>
      <c r="N53" s="179">
        <f>SUM('Sunshine Park'!N48)</f>
        <v>118</v>
      </c>
      <c r="O53" s="135">
        <f>SUM(C53:N53)</f>
        <v>1824</v>
      </c>
      <c r="P53">
        <f>SUM(B53:N53)</f>
        <v>1978</v>
      </c>
      <c r="Q53" s="159"/>
      <c r="R53">
        <f>SUM('Sunshine Park'!O48)</f>
        <v>1978</v>
      </c>
    </row>
    <row r="54" spans="1:18" hidden="1" x14ac:dyDescent="0.25">
      <c r="A54" s="12" t="s">
        <v>93</v>
      </c>
      <c r="B54" s="131">
        <f>SUM('Sunshine Park'!B49)</f>
        <v>147</v>
      </c>
      <c r="C54" s="131">
        <f>SUM('Sunshine Park'!C49)</f>
        <v>160</v>
      </c>
      <c r="D54" s="131">
        <f>SUM('Sunshine Park'!D49)</f>
        <v>168</v>
      </c>
      <c r="E54" s="131">
        <f>SUM('Sunshine Park'!E49)</f>
        <v>150</v>
      </c>
      <c r="F54" s="131">
        <f>SUM('Sunshine Park'!F49)</f>
        <v>162</v>
      </c>
      <c r="G54" s="131">
        <f>SUM('Sunshine Park'!G49)</f>
        <v>159</v>
      </c>
      <c r="H54" s="131">
        <f>SUM('Sunshine Park'!H49)</f>
        <v>158</v>
      </c>
      <c r="I54" s="131">
        <f>SUM('Sunshine Park'!I49)</f>
        <v>263</v>
      </c>
      <c r="J54" s="131">
        <f>SUM('Sunshine Park'!J49)</f>
        <v>168</v>
      </c>
      <c r="K54" s="131">
        <f>SUM('Sunshine Park'!K49)</f>
        <v>148</v>
      </c>
      <c r="L54" s="131">
        <f>SUM('Sunshine Park'!L49)</f>
        <v>163</v>
      </c>
      <c r="M54" s="131">
        <f>SUM('Sunshine Park'!M49)</f>
        <v>166</v>
      </c>
      <c r="N54" s="179">
        <f>SUM('Sunshine Park'!N49)</f>
        <v>173</v>
      </c>
      <c r="O54" s="135">
        <f>SUM(C54:N54)</f>
        <v>2038</v>
      </c>
      <c r="P54">
        <f>SUM(B54:N54)</f>
        <v>2185</v>
      </c>
      <c r="Q54" s="159"/>
      <c r="R54">
        <f>SUM('Sunshine Park'!O49)</f>
        <v>2185</v>
      </c>
    </row>
    <row r="55" spans="1:18" ht="15.75" hidden="1" thickBot="1" x14ac:dyDescent="0.3">
      <c r="A55" s="12" t="s">
        <v>94</v>
      </c>
      <c r="B55" s="131">
        <f>SUM('Sunshine Park'!B50)</f>
        <v>112</v>
      </c>
      <c r="C55" s="131">
        <f>SUM('Sunshine Park'!C50)</f>
        <v>85</v>
      </c>
      <c r="D55" s="131">
        <f>SUM('Sunshine Park'!D50)</f>
        <v>80</v>
      </c>
      <c r="E55" s="131">
        <f>SUM('Sunshine Park'!E50)</f>
        <v>97</v>
      </c>
      <c r="F55" s="131">
        <f>SUM('Sunshine Park'!F50)</f>
        <v>105</v>
      </c>
      <c r="G55" s="131">
        <f>SUM('Sunshine Park'!G50)</f>
        <v>126</v>
      </c>
      <c r="H55" s="131">
        <f>SUM('Sunshine Park'!H50)</f>
        <v>75</v>
      </c>
      <c r="I55" s="131">
        <f>SUM('Sunshine Park'!I50)</f>
        <v>78</v>
      </c>
      <c r="J55" s="131">
        <f>SUM('Sunshine Park'!J50)</f>
        <v>88</v>
      </c>
      <c r="K55" s="131">
        <f>SUM('Sunshine Park'!K50)</f>
        <v>76</v>
      </c>
      <c r="L55" s="131">
        <f>SUM('Sunshine Park'!L50)</f>
        <v>90</v>
      </c>
      <c r="M55" s="131">
        <f>SUM('Sunshine Park'!M50)</f>
        <v>96</v>
      </c>
      <c r="N55" s="179">
        <f>SUM('Sunshine Park'!N50)</f>
        <v>48</v>
      </c>
      <c r="O55" s="135">
        <f>SUM(C55:N55)</f>
        <v>1044</v>
      </c>
      <c r="P55">
        <f>SUM(B55:N55)</f>
        <v>1156</v>
      </c>
      <c r="Q55" s="159"/>
      <c r="R55">
        <f>SUM('Sunshine Park'!O50)</f>
        <v>1156</v>
      </c>
    </row>
    <row r="56" spans="1:18" hidden="1" x14ac:dyDescent="0.25">
      <c r="A56" s="143" t="s">
        <v>95</v>
      </c>
      <c r="B56" s="139">
        <f t="shared" ref="B56:M56" si="22">SUM(B53:B55)</f>
        <v>413</v>
      </c>
      <c r="C56" s="139">
        <f t="shared" si="22"/>
        <v>410</v>
      </c>
      <c r="D56" s="139">
        <f t="shared" si="22"/>
        <v>409</v>
      </c>
      <c r="E56" s="139">
        <f t="shared" si="22"/>
        <v>400</v>
      </c>
      <c r="F56" s="139">
        <f t="shared" si="22"/>
        <v>434</v>
      </c>
      <c r="G56" s="139">
        <f t="shared" si="22"/>
        <v>443</v>
      </c>
      <c r="H56" s="139">
        <f t="shared" si="22"/>
        <v>384</v>
      </c>
      <c r="I56" s="139">
        <f t="shared" si="22"/>
        <v>498</v>
      </c>
      <c r="J56" s="139">
        <f t="shared" si="22"/>
        <v>417</v>
      </c>
      <c r="K56" s="139">
        <f t="shared" si="22"/>
        <v>375</v>
      </c>
      <c r="L56" s="139">
        <f t="shared" si="22"/>
        <v>398</v>
      </c>
      <c r="M56" s="140">
        <f t="shared" si="22"/>
        <v>399</v>
      </c>
      <c r="N56" s="165">
        <f t="shared" ref="N56:O56" si="23">SUM(N53:N55)</f>
        <v>339</v>
      </c>
      <c r="O56" s="141">
        <f t="shared" si="23"/>
        <v>4906</v>
      </c>
      <c r="P56" s="91">
        <f>SUM(O33-O43)</f>
        <v>4906</v>
      </c>
      <c r="Q56" s="159"/>
    </row>
    <row r="57" spans="1:18" hidden="1" x14ac:dyDescent="0.25">
      <c r="Q57" s="159"/>
    </row>
    <row r="58" spans="1:18" ht="15.75" hidden="1" x14ac:dyDescent="0.25">
      <c r="A58" s="12" t="s">
        <v>98</v>
      </c>
      <c r="B58" s="33" t="s">
        <v>70</v>
      </c>
      <c r="C58" s="33" t="s">
        <v>81</v>
      </c>
      <c r="D58" s="33" t="s">
        <v>82</v>
      </c>
      <c r="E58" s="33" t="s">
        <v>104</v>
      </c>
      <c r="F58" s="33" t="s">
        <v>117</v>
      </c>
      <c r="G58" s="33" t="s">
        <v>124</v>
      </c>
      <c r="H58" s="33" t="s">
        <v>156</v>
      </c>
      <c r="I58" s="33" t="s">
        <v>161</v>
      </c>
      <c r="J58" s="33" t="s">
        <v>162</v>
      </c>
      <c r="K58" s="33" t="s">
        <v>166</v>
      </c>
      <c r="L58" s="33" t="s">
        <v>176</v>
      </c>
      <c r="M58" s="33" t="s">
        <v>182</v>
      </c>
      <c r="N58" s="55" t="s">
        <v>186</v>
      </c>
      <c r="O58" s="132" t="s">
        <v>95</v>
      </c>
      <c r="Q58" s="159"/>
    </row>
    <row r="59" spans="1:18" hidden="1" x14ac:dyDescent="0.25">
      <c r="A59" s="12" t="s">
        <v>88</v>
      </c>
      <c r="B59" s="144">
        <f>SUM('Sunshine Park'!B55)</f>
        <v>7.75</v>
      </c>
      <c r="C59" s="144">
        <f>SUM('Sunshine Park'!C55)</f>
        <v>9.6199999999999992</v>
      </c>
      <c r="D59" s="144">
        <f>SUM('Sunshine Park'!D55)</f>
        <v>7.47</v>
      </c>
      <c r="E59" s="144">
        <f>SUM('Sunshine Park'!E55)</f>
        <v>8.25</v>
      </c>
      <c r="F59" s="144">
        <f>SUM('Sunshine Park'!F55)</f>
        <v>9.57</v>
      </c>
      <c r="G59" s="144">
        <f>SUM('Sunshine Park'!G55)</f>
        <v>7.05</v>
      </c>
      <c r="H59" s="144">
        <f>SUM('Sunshine Park'!H55)</f>
        <v>6.38</v>
      </c>
      <c r="I59" s="144">
        <f>SUM('Sunshine Park'!I55)</f>
        <v>6.43</v>
      </c>
      <c r="J59" s="144">
        <f>SUM('Sunshine Park'!J55)</f>
        <v>6.63</v>
      </c>
      <c r="K59" s="144">
        <f>SUM('Sunshine Park'!K55)</f>
        <v>7.32</v>
      </c>
      <c r="L59" s="144">
        <f>SUM('Sunshine Park'!L55)</f>
        <v>5.9</v>
      </c>
      <c r="M59" s="144">
        <f>SUM('Sunshine Park'!M55)</f>
        <v>5.52</v>
      </c>
      <c r="N59" s="198">
        <f>SUM('Sunshine Park'!N55)</f>
        <v>5.15</v>
      </c>
      <c r="O59" s="146">
        <f>SUM(C59:N59)</f>
        <v>85.29</v>
      </c>
      <c r="P59" s="92">
        <f>SUM(B59:N59)</f>
        <v>93.04</v>
      </c>
      <c r="Q59" s="159"/>
      <c r="R59" s="92">
        <f>SUM('Sunshine Park'!O55)</f>
        <v>93.04</v>
      </c>
    </row>
    <row r="60" spans="1:18" hidden="1" x14ac:dyDescent="0.25">
      <c r="A60" s="12" t="s">
        <v>89</v>
      </c>
      <c r="B60" s="144">
        <f>SUM('Sunshine Park'!B56)</f>
        <v>6.35</v>
      </c>
      <c r="C60" s="144">
        <f>SUM('Sunshine Park'!C56)</f>
        <v>8.5500000000000007</v>
      </c>
      <c r="D60" s="144">
        <f>SUM('Sunshine Park'!D56)</f>
        <v>10.07</v>
      </c>
      <c r="E60" s="144">
        <f>SUM('Sunshine Park'!E56)</f>
        <v>8.35</v>
      </c>
      <c r="F60" s="144">
        <f>SUM('Sunshine Park'!F56)</f>
        <v>8.6999999999999993</v>
      </c>
      <c r="G60" s="144">
        <f>SUM('Sunshine Park'!G56)</f>
        <v>9.67</v>
      </c>
      <c r="H60" s="144">
        <f>SUM('Sunshine Park'!H56)</f>
        <v>10.27</v>
      </c>
      <c r="I60" s="144">
        <f>SUM('Sunshine Park'!I56)</f>
        <v>11.28</v>
      </c>
      <c r="J60" s="144">
        <f>SUM('Sunshine Park'!J56)</f>
        <v>9.5500000000000007</v>
      </c>
      <c r="K60" s="144">
        <f>SUM('Sunshine Park'!K56)</f>
        <v>8.08</v>
      </c>
      <c r="L60" s="144">
        <f>SUM('Sunshine Park'!L56)</f>
        <v>8.3800000000000008</v>
      </c>
      <c r="M60" s="144">
        <f>SUM('Sunshine Park'!M56)</f>
        <v>8.48</v>
      </c>
      <c r="N60" s="198">
        <f>SUM('Sunshine Park'!N56)</f>
        <v>7.97</v>
      </c>
      <c r="O60" s="146">
        <f>SUM(C60:N60)</f>
        <v>109.35</v>
      </c>
      <c r="P60" s="92">
        <f>SUM(B60:N60)</f>
        <v>115.69999999999999</v>
      </c>
      <c r="Q60" s="159"/>
      <c r="R60" s="92">
        <f>SUM('Sunshine Park'!O56)</f>
        <v>115.69999999999999</v>
      </c>
    </row>
    <row r="61" spans="1:18" ht="15.75" hidden="1" thickBot="1" x14ac:dyDescent="0.3">
      <c r="A61" s="12" t="s">
        <v>90</v>
      </c>
      <c r="B61" s="144">
        <f>SUM('Sunshine Park'!B57)</f>
        <v>6</v>
      </c>
      <c r="C61" s="144">
        <f>SUM('Sunshine Park'!C57)</f>
        <v>4.45</v>
      </c>
      <c r="D61" s="144">
        <f>SUM('Sunshine Park'!D57)</f>
        <v>4.1500000000000004</v>
      </c>
      <c r="E61" s="144">
        <f>SUM('Sunshine Park'!E57)</f>
        <v>4.67</v>
      </c>
      <c r="F61" s="144">
        <f>SUM('Sunshine Park'!F57)</f>
        <v>5.15</v>
      </c>
      <c r="G61" s="144">
        <f>SUM('Sunshine Park'!G57)</f>
        <v>5.83</v>
      </c>
      <c r="H61" s="144">
        <f>SUM('Sunshine Park'!H57)</f>
        <v>4.5199999999999996</v>
      </c>
      <c r="I61" s="144">
        <f>SUM('Sunshine Park'!I57)</f>
        <v>4.7</v>
      </c>
      <c r="J61" s="144">
        <f>SUM('Sunshine Park'!J57)</f>
        <v>4.5199999999999996</v>
      </c>
      <c r="K61" s="144">
        <f>SUM('Sunshine Park'!K57)</f>
        <v>3.87</v>
      </c>
      <c r="L61" s="144">
        <f>SUM('Sunshine Park'!L57)</f>
        <v>4.03</v>
      </c>
      <c r="M61" s="144">
        <f>SUM('Sunshine Park'!M57)</f>
        <v>4.22</v>
      </c>
      <c r="N61" s="198">
        <f>SUM('Sunshine Park'!N57)</f>
        <v>4.53</v>
      </c>
      <c r="O61" s="146">
        <f>SUM(C61:N61)</f>
        <v>54.639999999999993</v>
      </c>
      <c r="P61" s="92">
        <f>SUM(B61:N61)</f>
        <v>60.639999999999993</v>
      </c>
      <c r="Q61" s="159"/>
      <c r="R61" s="92">
        <f>SUM('Sunshine Park'!O57)</f>
        <v>60.639999999999993</v>
      </c>
    </row>
    <row r="62" spans="1:18" hidden="1" x14ac:dyDescent="0.25">
      <c r="A62" s="143" t="s">
        <v>95</v>
      </c>
      <c r="B62" s="149">
        <f t="shared" ref="B62:M62" si="24">SUM(B59:B61)</f>
        <v>20.100000000000001</v>
      </c>
      <c r="C62" s="149">
        <f t="shared" si="24"/>
        <v>22.62</v>
      </c>
      <c r="D62" s="149">
        <f t="shared" si="24"/>
        <v>21.689999999999998</v>
      </c>
      <c r="E62" s="149">
        <f t="shared" si="24"/>
        <v>21.270000000000003</v>
      </c>
      <c r="F62" s="149">
        <f t="shared" si="24"/>
        <v>23.42</v>
      </c>
      <c r="G62" s="149">
        <f t="shared" si="24"/>
        <v>22.549999999999997</v>
      </c>
      <c r="H62" s="149">
        <f t="shared" si="24"/>
        <v>21.169999999999998</v>
      </c>
      <c r="I62" s="149">
        <f t="shared" si="24"/>
        <v>22.41</v>
      </c>
      <c r="J62" s="149">
        <f t="shared" si="24"/>
        <v>20.7</v>
      </c>
      <c r="K62" s="149">
        <f t="shared" si="24"/>
        <v>19.27</v>
      </c>
      <c r="L62" s="149">
        <f t="shared" si="24"/>
        <v>18.310000000000002</v>
      </c>
      <c r="M62" s="150">
        <f t="shared" si="24"/>
        <v>18.22</v>
      </c>
      <c r="N62" s="168">
        <f t="shared" ref="N62:O62" si="25">SUM(N59:N61)</f>
        <v>17.650000000000002</v>
      </c>
      <c r="O62" s="151">
        <f t="shared" si="25"/>
        <v>249.27999999999997</v>
      </c>
      <c r="P62" s="129">
        <f>SUM(O32-O42)</f>
        <v>249.27999999999884</v>
      </c>
      <c r="Q62" s="160"/>
    </row>
  </sheetData>
  <sheetProtection algorithmName="SHA-512" hashValue="UpRE9Z1XWV5XdZgd1S8H2EQgnEZ/4rDhVT34ng0U3C6RlF/ntxxHXxGDOVhN1EcJ1QHalX0oHN+AvN2TVSh2tw==" saltValue="EKOMjaMYo6xK7urfpSyT1g==" spinCount="100000" sheet="1" objects="1" scenarios="1"/>
  <mergeCells count="6">
    <mergeCell ref="L24:N24"/>
    <mergeCell ref="I24:K24"/>
    <mergeCell ref="F24:H24"/>
    <mergeCell ref="C24:E24"/>
    <mergeCell ref="A1:O1"/>
    <mergeCell ref="A2:O2"/>
  </mergeCells>
  <phoneticPr fontId="5" type="noConversion"/>
  <pageMargins left="0.25" right="0.25" top="0.75" bottom="0.75" header="0.3" footer="0.3"/>
  <pageSetup scale="76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5DEA4-DFAF-479C-851E-831E5B873CAE}">
  <sheetPr>
    <tabColor theme="5" tint="-0.249977111117893"/>
    <pageSetUpPr fitToPage="1"/>
  </sheetPr>
  <dimension ref="A1:V38"/>
  <sheetViews>
    <sheetView workbookViewId="0">
      <selection sqref="A1:O1"/>
    </sheetView>
  </sheetViews>
  <sheetFormatPr defaultRowHeight="15" x14ac:dyDescent="0.25"/>
  <cols>
    <col min="1" max="1" width="20.7109375" customWidth="1"/>
    <col min="2" max="3" width="9.7109375" customWidth="1"/>
    <col min="4" max="4" width="12.7109375" customWidth="1"/>
    <col min="5" max="6" width="9.7109375" customWidth="1"/>
    <col min="7" max="7" width="12.7109375" customWidth="1"/>
    <col min="8" max="15" width="9.7109375" customWidth="1"/>
  </cols>
  <sheetData>
    <row r="1" spans="1:15" ht="21" x14ac:dyDescent="0.35">
      <c r="A1" s="215" t="s">
        <v>185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A2" s="215" t="s">
        <v>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22" ht="15" customHeight="1" x14ac:dyDescent="0.25">
      <c r="A24" s="66"/>
      <c r="B24" s="220" t="s">
        <v>12</v>
      </c>
      <c r="C24" s="221"/>
      <c r="D24" s="222"/>
      <c r="E24" s="220" t="s">
        <v>12</v>
      </c>
      <c r="F24" s="221"/>
      <c r="G24" s="222"/>
    </row>
    <row r="25" spans="1:22" s="5" customFormat="1" ht="15.75" customHeight="1" x14ac:dyDescent="0.25">
      <c r="A25" s="66"/>
      <c r="B25" s="8" t="s">
        <v>70</v>
      </c>
      <c r="C25" s="8" t="s">
        <v>186</v>
      </c>
      <c r="D25" s="25" t="s">
        <v>25</v>
      </c>
      <c r="E25" s="8" t="s">
        <v>70</v>
      </c>
      <c r="F25" s="8" t="s">
        <v>186</v>
      </c>
      <c r="G25" s="25" t="s">
        <v>25</v>
      </c>
      <c r="H25"/>
      <c r="I25"/>
      <c r="J25"/>
      <c r="K25"/>
      <c r="L25"/>
      <c r="M25"/>
      <c r="N25"/>
      <c r="O25"/>
    </row>
    <row r="26" spans="1:22" ht="20.100000000000001" customHeight="1" x14ac:dyDescent="0.25">
      <c r="A26" s="68" t="s">
        <v>16</v>
      </c>
      <c r="B26" s="35">
        <f>SUM('Umpqua Rides'!B27)</f>
        <v>1305</v>
      </c>
      <c r="C26" s="9">
        <f>SUM('Umpqua Rides'!N27)</f>
        <v>650</v>
      </c>
      <c r="D26" s="199">
        <f>SUM(C26-B26)</f>
        <v>-655</v>
      </c>
      <c r="E26" s="231">
        <f>SUM(B26:B27)</f>
        <v>1820</v>
      </c>
      <c r="F26" s="233">
        <f>SUM(C26:C27)</f>
        <v>1302</v>
      </c>
      <c r="G26" s="235">
        <f>SUM(D26:D27)</f>
        <v>-518</v>
      </c>
      <c r="H26" s="88"/>
      <c r="I26" s="88"/>
      <c r="J26" s="88"/>
      <c r="K26" s="88"/>
      <c r="L26" s="88"/>
      <c r="M26" s="88"/>
      <c r="N26" s="88"/>
      <c r="P26" s="5"/>
      <c r="Q26" s="5"/>
      <c r="R26" s="5"/>
      <c r="S26" s="5"/>
      <c r="T26" s="5"/>
      <c r="U26" s="5"/>
      <c r="V26" s="5"/>
    </row>
    <row r="27" spans="1:22" ht="20.100000000000001" customHeight="1" x14ac:dyDescent="0.25">
      <c r="A27" s="69" t="s">
        <v>19</v>
      </c>
      <c r="B27" s="35">
        <f>SUM('Umpqua Rides'!B28)</f>
        <v>515</v>
      </c>
      <c r="C27" s="9">
        <f>SUM('Umpqua Rides'!N28)</f>
        <v>652</v>
      </c>
      <c r="D27" s="199">
        <f>SUM(C27-B27)</f>
        <v>137</v>
      </c>
      <c r="E27" s="232"/>
      <c r="F27" s="234"/>
      <c r="G27" s="236"/>
      <c r="H27" s="88"/>
      <c r="I27" s="88"/>
      <c r="J27" s="88"/>
      <c r="K27" s="88"/>
      <c r="L27" s="88"/>
      <c r="M27" s="88"/>
      <c r="N27" s="88"/>
      <c r="P27" s="5"/>
      <c r="Q27" s="5"/>
      <c r="R27" s="5"/>
      <c r="S27" s="5"/>
      <c r="T27" s="5"/>
      <c r="U27" s="5"/>
      <c r="V27" s="5"/>
    </row>
    <row r="28" spans="1:22" ht="20.100000000000001" customHeight="1" thickBot="1" x14ac:dyDescent="0.3">
      <c r="A28" s="47" t="s">
        <v>5</v>
      </c>
      <c r="B28" s="35">
        <f>SUM('Umpqua Rides'!B29)</f>
        <v>247</v>
      </c>
      <c r="C28" s="9">
        <f>SUM('Umpqua Rides'!N29)</f>
        <v>0</v>
      </c>
      <c r="D28" s="52">
        <f t="shared" ref="D28:D30" si="0">SUM(C28-B28)</f>
        <v>-247</v>
      </c>
      <c r="F28" s="88"/>
      <c r="G28" s="88"/>
      <c r="H28" s="88"/>
      <c r="I28" s="88"/>
      <c r="J28" s="88"/>
      <c r="K28" s="88"/>
      <c r="L28" s="88"/>
      <c r="M28" s="88"/>
      <c r="N28" s="88"/>
      <c r="P28" s="5"/>
      <c r="Q28" s="5"/>
      <c r="R28" s="5"/>
      <c r="S28" s="5"/>
      <c r="T28" s="5"/>
      <c r="U28" s="5"/>
      <c r="V28" s="5"/>
    </row>
    <row r="29" spans="1:22" ht="20.100000000000001" customHeight="1" thickTop="1" x14ac:dyDescent="0.25">
      <c r="A29" s="47" t="s">
        <v>6</v>
      </c>
      <c r="B29" s="35">
        <f>SUM('Umpqua Rides'!B30)</f>
        <v>0</v>
      </c>
      <c r="C29" s="104">
        <f>SUM('Umpqua Rides'!N30)</f>
        <v>0</v>
      </c>
      <c r="D29" s="52">
        <f t="shared" si="0"/>
        <v>0</v>
      </c>
      <c r="E29" s="229" t="s">
        <v>33</v>
      </c>
      <c r="F29" s="88"/>
      <c r="G29" s="88"/>
      <c r="H29" s="88"/>
      <c r="I29" s="88"/>
      <c r="J29" s="88"/>
      <c r="K29" s="88"/>
      <c r="L29" s="88"/>
      <c r="M29" s="88"/>
      <c r="N29" s="88"/>
      <c r="P29" s="5"/>
      <c r="Q29" s="5"/>
      <c r="R29" s="5"/>
      <c r="S29" s="5"/>
      <c r="T29" s="5"/>
      <c r="U29" s="5"/>
      <c r="V29" s="5"/>
    </row>
    <row r="30" spans="1:22" ht="20.100000000000001" customHeight="1" thickBot="1" x14ac:dyDescent="0.3">
      <c r="A30" s="47" t="s">
        <v>32</v>
      </c>
      <c r="B30" s="35">
        <f>SUM('Umpqua Rides'!B31)</f>
        <v>0</v>
      </c>
      <c r="C30" s="104">
        <f>SUM('Umpqua Rides'!N31)</f>
        <v>0</v>
      </c>
      <c r="D30" s="52">
        <f t="shared" si="0"/>
        <v>0</v>
      </c>
      <c r="E30" s="230"/>
      <c r="F30" s="88"/>
      <c r="G30" s="88"/>
      <c r="H30" s="88"/>
      <c r="I30" s="88"/>
      <c r="J30" s="88"/>
      <c r="K30" s="88"/>
      <c r="L30" s="88"/>
      <c r="M30" s="88"/>
      <c r="N30" s="88"/>
      <c r="P30" s="5"/>
      <c r="Q30" s="5"/>
      <c r="R30" s="5"/>
      <c r="S30" s="5"/>
      <c r="T30" s="5"/>
      <c r="U30" s="5"/>
      <c r="V30" s="5"/>
    </row>
    <row r="31" spans="1:22" ht="24.95" customHeight="1" thickBot="1" x14ac:dyDescent="0.3">
      <c r="A31" s="51" t="s">
        <v>3</v>
      </c>
      <c r="B31" s="53">
        <f>SUM(B26:B30)</f>
        <v>2067</v>
      </c>
      <c r="C31" s="19">
        <f>SUM(C26:C30)</f>
        <v>1302</v>
      </c>
      <c r="D31" s="54">
        <f>SUM(D26:D30)</f>
        <v>-765</v>
      </c>
      <c r="E31" s="89">
        <f>SUM(D31/B31)</f>
        <v>-0.37010159651669083</v>
      </c>
      <c r="F31" s="88"/>
      <c r="G31" s="88"/>
      <c r="H31" s="88"/>
      <c r="I31" s="88"/>
      <c r="J31" s="88"/>
      <c r="K31" s="88"/>
      <c r="L31" s="88"/>
      <c r="M31" s="88"/>
    </row>
    <row r="32" spans="1:22" ht="9.9499999999999993" customHeight="1" thickTop="1" x14ac:dyDescent="0.25">
      <c r="A32" s="17"/>
      <c r="B32" s="31"/>
      <c r="C32" s="18"/>
      <c r="D32" s="28"/>
      <c r="F32" s="88"/>
      <c r="G32" s="88"/>
      <c r="H32" s="88"/>
      <c r="I32" s="88"/>
      <c r="J32" s="88"/>
      <c r="K32" s="88"/>
      <c r="L32" s="88"/>
      <c r="M32" s="88"/>
    </row>
    <row r="33" spans="1:15" ht="30" customHeight="1" x14ac:dyDescent="0.25">
      <c r="A33" s="47" t="s">
        <v>15</v>
      </c>
      <c r="B33" s="32">
        <f>SUM(B31/C34)</f>
        <v>8.7659033078880413E-2</v>
      </c>
      <c r="C33" s="21">
        <f>SUM(C31/C35)</f>
        <v>5.8580041392963196E-2</v>
      </c>
      <c r="D33" s="29">
        <f>SUM(C33-B33)</f>
        <v>-2.9078991685917217E-2</v>
      </c>
    </row>
    <row r="34" spans="1:15" x14ac:dyDescent="0.25">
      <c r="A34" s="1" t="s">
        <v>157</v>
      </c>
      <c r="B34" s="48" t="s">
        <v>14</v>
      </c>
      <c r="C34" s="218">
        <v>23580</v>
      </c>
      <c r="D34" s="219"/>
    </row>
    <row r="35" spans="1:15" x14ac:dyDescent="0.25">
      <c r="A35" s="1" t="s">
        <v>158</v>
      </c>
      <c r="B35" s="48" t="s">
        <v>31</v>
      </c>
      <c r="C35" s="218">
        <v>22226</v>
      </c>
      <c r="D35" s="219"/>
      <c r="E35" s="42"/>
      <c r="F35" s="1"/>
      <c r="G35" s="1"/>
      <c r="H35" s="1"/>
      <c r="I35" s="1"/>
      <c r="J35" s="1"/>
      <c r="K35" s="1"/>
      <c r="L35" s="1"/>
      <c r="M35" s="1"/>
      <c r="N35" s="2"/>
      <c r="O35" s="3"/>
    </row>
    <row r="36" spans="1:15" x14ac:dyDescent="0.25">
      <c r="A36" s="1" t="s">
        <v>159</v>
      </c>
      <c r="B36" s="48" t="s">
        <v>34</v>
      </c>
      <c r="C36" s="225">
        <v>23253</v>
      </c>
      <c r="D36" s="226"/>
      <c r="E36" s="1"/>
      <c r="F36" s="1"/>
      <c r="G36" s="1"/>
      <c r="H36" s="1"/>
      <c r="I36" s="1"/>
      <c r="J36" s="1"/>
      <c r="K36" s="1"/>
      <c r="L36" s="1"/>
      <c r="M36" s="1"/>
      <c r="N36" s="2"/>
      <c r="O36" s="3"/>
    </row>
    <row r="37" spans="1:15" x14ac:dyDescent="0.25">
      <c r="A37" s="1" t="s">
        <v>172</v>
      </c>
      <c r="B37" s="48" t="s">
        <v>61</v>
      </c>
      <c r="C37" s="218">
        <v>25929</v>
      </c>
      <c r="D37" s="219"/>
      <c r="E37" s="1"/>
      <c r="F37" s="1"/>
      <c r="G37" s="1"/>
      <c r="H37" s="1"/>
      <c r="I37" s="1"/>
      <c r="J37" s="1"/>
      <c r="K37" s="1"/>
      <c r="L37" s="1"/>
      <c r="M37" s="1"/>
      <c r="N37" s="2"/>
      <c r="O37" s="3"/>
    </row>
    <row r="38" spans="1:15" x14ac:dyDescent="0.25">
      <c r="A38" s="105" t="s">
        <v>170</v>
      </c>
      <c r="B38" s="48" t="s">
        <v>171</v>
      </c>
      <c r="C38" s="227">
        <f>SUM('Umpqua Rides'!L32:N32)</f>
        <v>4897</v>
      </c>
      <c r="D38" s="228"/>
      <c r="E38" s="1"/>
      <c r="F38" s="1"/>
      <c r="G38" s="1"/>
      <c r="H38" s="1"/>
      <c r="I38" s="1"/>
      <c r="J38" s="1"/>
      <c r="K38" s="1"/>
      <c r="L38" s="1"/>
      <c r="M38" s="1"/>
      <c r="N38" s="1"/>
      <c r="O38" s="3"/>
    </row>
  </sheetData>
  <sheetProtection algorithmName="SHA-512" hashValue="4W0GcroexTGSAxQoWW1M9KKetRm7s8dtxguowG1ei4TXBr7kxdD0KPgKQYSEYKgk1RdiWqAMKzv/Yc2Y4ZFk4A==" saltValue="arbIKjSX7FQ6DypQWJAv5g==" spinCount="100000" sheet="1" objects="1" scenarios="1"/>
  <mergeCells count="13">
    <mergeCell ref="C38:D38"/>
    <mergeCell ref="C37:D37"/>
    <mergeCell ref="C36:D36"/>
    <mergeCell ref="C35:D35"/>
    <mergeCell ref="C34:D34"/>
    <mergeCell ref="A1:O1"/>
    <mergeCell ref="A2:O2"/>
    <mergeCell ref="B24:D24"/>
    <mergeCell ref="E29:E30"/>
    <mergeCell ref="E24:G24"/>
    <mergeCell ref="E26:E27"/>
    <mergeCell ref="F26:F27"/>
    <mergeCell ref="G26:G27"/>
  </mergeCells>
  <printOptions horizontalCentered="1"/>
  <pageMargins left="0.25" right="0.25" top="0.25" bottom="0.25" header="0.3" footer="0.3"/>
  <pageSetup scale="84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2C5EB-10A1-4D38-95A9-9119A7981577}">
  <sheetPr>
    <tabColor rgb="FFFFC000"/>
    <pageSetUpPr fitToPage="1"/>
  </sheetPr>
  <dimension ref="A1:U62"/>
  <sheetViews>
    <sheetView workbookViewId="0">
      <selection sqref="A1:P1"/>
    </sheetView>
  </sheetViews>
  <sheetFormatPr defaultRowHeight="15" x14ac:dyDescent="0.25"/>
  <cols>
    <col min="1" max="1" width="20.7109375" customWidth="1"/>
    <col min="2" max="14" width="10.7109375" customWidth="1"/>
    <col min="15" max="15" width="15.7109375" customWidth="1"/>
    <col min="16" max="16" width="9.7109375" customWidth="1"/>
    <col min="18" max="18" width="9.140625" customWidth="1"/>
    <col min="20" max="20" width="9.140625" customWidth="1"/>
    <col min="21" max="21" width="15.7109375" customWidth="1"/>
  </cols>
  <sheetData>
    <row r="1" spans="1:16" ht="21" customHeight="1" x14ac:dyDescent="0.35">
      <c r="A1" s="215" t="s">
        <v>36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21" customHeight="1" x14ac:dyDescent="0.35">
      <c r="A2" s="215" t="s">
        <v>37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ht="21" x14ac:dyDescent="0.35">
      <c r="H3" s="4"/>
    </row>
    <row r="10" spans="1:16" ht="20.100000000000001" customHeight="1" x14ac:dyDescent="0.25"/>
    <row r="11" spans="1:16" ht="20.100000000000001" customHeight="1" x14ac:dyDescent="0.25"/>
    <row r="12" spans="1:16" ht="20.100000000000001" customHeight="1" x14ac:dyDescent="0.25"/>
    <row r="13" spans="1:16" ht="20.100000000000001" customHeight="1" x14ac:dyDescent="0.25"/>
    <row r="25" spans="1:21" x14ac:dyDescent="0.25">
      <c r="B25" s="211" t="s">
        <v>9</v>
      </c>
      <c r="C25" s="213" t="s">
        <v>8</v>
      </c>
      <c r="D25" s="213"/>
      <c r="E25" s="213"/>
      <c r="F25" s="213" t="s">
        <v>26</v>
      </c>
      <c r="G25" s="213"/>
      <c r="H25" s="213"/>
      <c r="I25" s="213" t="s">
        <v>10</v>
      </c>
      <c r="J25" s="213"/>
      <c r="K25" s="213"/>
      <c r="L25" s="213" t="s">
        <v>9</v>
      </c>
      <c r="M25" s="213"/>
      <c r="N25" s="214"/>
      <c r="O25" s="119"/>
    </row>
    <row r="26" spans="1:21" s="5" customFormat="1" ht="15.75" x14ac:dyDescent="0.25">
      <c r="A26" s="20" t="s">
        <v>35</v>
      </c>
      <c r="B26" s="33" t="s">
        <v>70</v>
      </c>
      <c r="C26" s="33" t="s">
        <v>81</v>
      </c>
      <c r="D26" s="33" t="s">
        <v>82</v>
      </c>
      <c r="E26" s="33" t="s">
        <v>104</v>
      </c>
      <c r="F26" s="33" t="s">
        <v>117</v>
      </c>
      <c r="G26" s="33" t="s">
        <v>124</v>
      </c>
      <c r="H26" s="33" t="s">
        <v>156</v>
      </c>
      <c r="I26" s="33" t="s">
        <v>161</v>
      </c>
      <c r="J26" s="33" t="s">
        <v>162</v>
      </c>
      <c r="K26" s="33" t="s">
        <v>166</v>
      </c>
      <c r="L26" s="33" t="s">
        <v>176</v>
      </c>
      <c r="M26" s="33" t="s">
        <v>182</v>
      </c>
      <c r="N26" s="55" t="s">
        <v>186</v>
      </c>
      <c r="O26" s="57" t="s">
        <v>72</v>
      </c>
      <c r="P26" s="63" t="s">
        <v>7</v>
      </c>
    </row>
    <row r="27" spans="1:21" ht="30" x14ac:dyDescent="0.25">
      <c r="A27" s="68" t="s">
        <v>38</v>
      </c>
      <c r="B27" s="37">
        <f t="shared" ref="B27:I27" si="0">SUM(B40)</f>
        <v>50</v>
      </c>
      <c r="C27" s="37">
        <f t="shared" si="0"/>
        <v>32</v>
      </c>
      <c r="D27" s="37">
        <f t="shared" si="0"/>
        <v>29</v>
      </c>
      <c r="E27" s="37">
        <f t="shared" si="0"/>
        <v>61</v>
      </c>
      <c r="F27" s="37">
        <f t="shared" si="0"/>
        <v>59</v>
      </c>
      <c r="G27" s="37">
        <f t="shared" si="0"/>
        <v>71</v>
      </c>
      <c r="H27" s="37">
        <f t="shared" si="0"/>
        <v>55</v>
      </c>
      <c r="I27" s="37">
        <f t="shared" si="0"/>
        <v>35</v>
      </c>
      <c r="J27" s="37">
        <f t="shared" ref="J27:M27" si="1">SUM(J40)</f>
        <v>35</v>
      </c>
      <c r="K27" s="37">
        <f t="shared" si="1"/>
        <v>14</v>
      </c>
      <c r="L27" s="37">
        <f t="shared" si="1"/>
        <v>11</v>
      </c>
      <c r="M27" s="37">
        <f t="shared" si="1"/>
        <v>10</v>
      </c>
      <c r="N27" s="56">
        <f t="shared" ref="N27:N30" si="2">SUM(N40)</f>
        <v>31</v>
      </c>
      <c r="O27" s="58">
        <f>SUM(B27:N27)</f>
        <v>493</v>
      </c>
      <c r="P27" s="64">
        <f>SUM(O27/O32)</f>
        <v>0.34742776603241721</v>
      </c>
      <c r="T27" s="90"/>
      <c r="U27" s="91"/>
    </row>
    <row r="28" spans="1:21" ht="20.100000000000001" customHeight="1" x14ac:dyDescent="0.25">
      <c r="A28" s="47" t="s">
        <v>39</v>
      </c>
      <c r="B28" s="37">
        <f t="shared" ref="B28:K28" si="3">SUM(B41)</f>
        <v>26</v>
      </c>
      <c r="C28" s="37">
        <f t="shared" si="3"/>
        <v>30</v>
      </c>
      <c r="D28" s="37">
        <f t="shared" si="3"/>
        <v>27</v>
      </c>
      <c r="E28" s="37">
        <f t="shared" si="3"/>
        <v>56</v>
      </c>
      <c r="F28" s="37">
        <f t="shared" si="3"/>
        <v>50</v>
      </c>
      <c r="G28" s="37">
        <f t="shared" si="3"/>
        <v>59</v>
      </c>
      <c r="H28" s="37">
        <f t="shared" si="3"/>
        <v>52</v>
      </c>
      <c r="I28" s="37">
        <f t="shared" si="3"/>
        <v>27</v>
      </c>
      <c r="J28" s="37">
        <f t="shared" si="3"/>
        <v>34</v>
      </c>
      <c r="K28" s="37">
        <f t="shared" si="3"/>
        <v>17</v>
      </c>
      <c r="L28" s="37">
        <f t="shared" ref="L28:M28" si="4">SUM(L41)</f>
        <v>23</v>
      </c>
      <c r="M28" s="37">
        <f t="shared" si="4"/>
        <v>24</v>
      </c>
      <c r="N28" s="56">
        <f t="shared" si="2"/>
        <v>22</v>
      </c>
      <c r="O28" s="58">
        <f t="shared" ref="O28:O31" si="5">SUM(B28:N28)</f>
        <v>447</v>
      </c>
      <c r="P28" s="64">
        <f>SUM(O28/O32)</f>
        <v>0.31501057082452433</v>
      </c>
      <c r="T28" s="90"/>
      <c r="U28" s="91"/>
    </row>
    <row r="29" spans="1:21" ht="20.100000000000001" customHeight="1" x14ac:dyDescent="0.25">
      <c r="A29" s="47" t="s">
        <v>40</v>
      </c>
      <c r="B29" s="37">
        <f t="shared" ref="B29:K29" si="6">SUM(B42)</f>
        <v>10</v>
      </c>
      <c r="C29" s="37">
        <f t="shared" si="6"/>
        <v>25</v>
      </c>
      <c r="D29" s="37">
        <f t="shared" si="6"/>
        <v>23</v>
      </c>
      <c r="E29" s="37">
        <f t="shared" si="6"/>
        <v>39</v>
      </c>
      <c r="F29" s="37">
        <f t="shared" si="6"/>
        <v>28</v>
      </c>
      <c r="G29" s="37">
        <f t="shared" si="6"/>
        <v>32</v>
      </c>
      <c r="H29" s="37">
        <f t="shared" si="6"/>
        <v>54</v>
      </c>
      <c r="I29" s="37">
        <f t="shared" si="6"/>
        <v>21</v>
      </c>
      <c r="J29" s="37">
        <f t="shared" si="6"/>
        <v>19</v>
      </c>
      <c r="K29" s="37">
        <f t="shared" si="6"/>
        <v>17</v>
      </c>
      <c r="L29" s="37">
        <f t="shared" ref="L29:M29" si="7">SUM(L42)</f>
        <v>29</v>
      </c>
      <c r="M29" s="37">
        <f t="shared" si="7"/>
        <v>34</v>
      </c>
      <c r="N29" s="56">
        <f t="shared" si="2"/>
        <v>17</v>
      </c>
      <c r="O29" s="58">
        <f t="shared" si="5"/>
        <v>348</v>
      </c>
      <c r="P29" s="64">
        <f>SUM(O29/O32)</f>
        <v>0.2452431289640592</v>
      </c>
      <c r="T29" s="90"/>
      <c r="U29" s="91"/>
    </row>
    <row r="30" spans="1:21" ht="20.100000000000001" customHeight="1" thickBot="1" x14ac:dyDescent="0.3">
      <c r="A30" s="47" t="s">
        <v>41</v>
      </c>
      <c r="B30" s="37">
        <f t="shared" ref="B30:K30" si="8">SUM(B43)</f>
        <v>3</v>
      </c>
      <c r="C30" s="37">
        <f t="shared" si="8"/>
        <v>17</v>
      </c>
      <c r="D30" s="37">
        <f t="shared" si="8"/>
        <v>11</v>
      </c>
      <c r="E30" s="37">
        <f t="shared" si="8"/>
        <v>31</v>
      </c>
      <c r="F30" s="37">
        <f t="shared" si="8"/>
        <v>15</v>
      </c>
      <c r="G30" s="37">
        <f t="shared" si="8"/>
        <v>20</v>
      </c>
      <c r="H30" s="37">
        <f t="shared" si="8"/>
        <v>7</v>
      </c>
      <c r="I30" s="37">
        <f t="shared" si="8"/>
        <v>2</v>
      </c>
      <c r="J30" s="37">
        <f t="shared" si="8"/>
        <v>0</v>
      </c>
      <c r="K30" s="37">
        <f t="shared" si="8"/>
        <v>4</v>
      </c>
      <c r="L30" s="37">
        <f t="shared" ref="L30:M30" si="9">SUM(L43)</f>
        <v>6</v>
      </c>
      <c r="M30" s="37">
        <f t="shared" si="9"/>
        <v>8</v>
      </c>
      <c r="N30" s="56">
        <f t="shared" si="2"/>
        <v>7</v>
      </c>
      <c r="O30" s="58">
        <f t="shared" si="5"/>
        <v>131</v>
      </c>
      <c r="P30" s="64">
        <f>SUM(O30/O32)</f>
        <v>9.2318534178999295E-2</v>
      </c>
      <c r="T30" s="90"/>
      <c r="U30" s="91"/>
    </row>
    <row r="31" spans="1:21" ht="20.100000000000001" hidden="1" customHeight="1" thickBot="1" x14ac:dyDescent="0.3">
      <c r="A31" s="47"/>
      <c r="B31" s="72"/>
      <c r="C31" s="72"/>
      <c r="D31" s="72"/>
      <c r="E31" s="37"/>
      <c r="F31" s="37"/>
      <c r="G31" s="37"/>
      <c r="H31" s="37"/>
      <c r="I31" s="37"/>
      <c r="J31" s="37"/>
      <c r="K31" s="37"/>
      <c r="L31" s="37"/>
      <c r="M31" s="37"/>
      <c r="N31" s="56"/>
      <c r="O31" s="58">
        <f t="shared" si="5"/>
        <v>0</v>
      </c>
      <c r="P31" s="64">
        <f>SUM(O31/O32)</f>
        <v>0</v>
      </c>
      <c r="T31" s="90"/>
      <c r="U31" s="91"/>
    </row>
    <row r="32" spans="1:21" ht="20.100000000000001" customHeight="1" x14ac:dyDescent="0.25">
      <c r="A32" s="19" t="s">
        <v>3</v>
      </c>
      <c r="B32" s="51">
        <f t="shared" ref="B32:D32" si="10">SUM(B27:B31)</f>
        <v>89</v>
      </c>
      <c r="C32" s="51">
        <f t="shared" si="10"/>
        <v>104</v>
      </c>
      <c r="D32" s="51">
        <f t="shared" si="10"/>
        <v>90</v>
      </c>
      <c r="E32" s="51">
        <f t="shared" ref="E32" si="11">SUM(E27:E31)</f>
        <v>187</v>
      </c>
      <c r="F32" s="51">
        <f t="shared" ref="F32:M32" si="12">SUM(F27:F31)</f>
        <v>152</v>
      </c>
      <c r="G32" s="51">
        <f t="shared" si="12"/>
        <v>182</v>
      </c>
      <c r="H32" s="51">
        <f t="shared" si="12"/>
        <v>168</v>
      </c>
      <c r="I32" s="51">
        <f t="shared" si="12"/>
        <v>85</v>
      </c>
      <c r="J32" s="51">
        <f t="shared" si="12"/>
        <v>88</v>
      </c>
      <c r="K32" s="51">
        <f t="shared" si="12"/>
        <v>52</v>
      </c>
      <c r="L32" s="51">
        <f t="shared" si="12"/>
        <v>69</v>
      </c>
      <c r="M32" s="51">
        <f t="shared" si="12"/>
        <v>76</v>
      </c>
      <c r="N32" s="62">
        <f t="shared" ref="N32:P32" si="13">SUM(N27:N31)</f>
        <v>77</v>
      </c>
      <c r="O32" s="60">
        <f t="shared" si="13"/>
        <v>1419</v>
      </c>
      <c r="P32" s="65">
        <f t="shared" si="13"/>
        <v>1</v>
      </c>
      <c r="T32" s="90"/>
      <c r="U32" s="91"/>
    </row>
    <row r="33" spans="1:21" ht="9.9499999999999993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93"/>
      <c r="O33" s="58"/>
      <c r="P33" s="3"/>
    </row>
    <row r="34" spans="1:21" ht="30" customHeight="1" x14ac:dyDescent="0.25">
      <c r="A34" s="12" t="s">
        <v>17</v>
      </c>
      <c r="B34" s="34">
        <f t="shared" ref="B34:I34" si="14">SUM(B58)</f>
        <v>26.28</v>
      </c>
      <c r="C34" s="34">
        <f t="shared" si="14"/>
        <v>29.5</v>
      </c>
      <c r="D34" s="34">
        <f t="shared" si="14"/>
        <v>27.39</v>
      </c>
      <c r="E34" s="34">
        <f t="shared" si="14"/>
        <v>27.42</v>
      </c>
      <c r="F34" s="34">
        <f t="shared" si="14"/>
        <v>29.82</v>
      </c>
      <c r="G34" s="34">
        <f t="shared" si="14"/>
        <v>28.96</v>
      </c>
      <c r="H34" s="34">
        <f t="shared" si="14"/>
        <v>27.8</v>
      </c>
      <c r="I34" s="34">
        <f t="shared" si="14"/>
        <v>29.09</v>
      </c>
      <c r="J34" s="34">
        <f t="shared" ref="J34:M34" si="15">SUM(J58)</f>
        <v>27.34</v>
      </c>
      <c r="K34" s="34">
        <f t="shared" si="15"/>
        <v>24.570000000000004</v>
      </c>
      <c r="L34" s="34">
        <f t="shared" si="15"/>
        <v>25.230000000000004</v>
      </c>
      <c r="M34" s="34">
        <f t="shared" si="15"/>
        <v>25.09</v>
      </c>
      <c r="N34" s="94">
        <f t="shared" ref="N34" si="16">SUM(N58)</f>
        <v>23.240000000000002</v>
      </c>
      <c r="O34" s="61">
        <f>SUM(B34:N34)</f>
        <v>351.73</v>
      </c>
      <c r="P34" s="3"/>
      <c r="Q34" s="129"/>
      <c r="T34" s="92"/>
      <c r="U34" s="92"/>
    </row>
    <row r="35" spans="1:21" ht="30" customHeight="1" x14ac:dyDescent="0.25">
      <c r="A35" s="12" t="s">
        <v>18</v>
      </c>
      <c r="B35" s="37">
        <f t="shared" ref="B35:I35" si="17">SUM(B51)</f>
        <v>573</v>
      </c>
      <c r="C35" s="37">
        <f t="shared" si="17"/>
        <v>586</v>
      </c>
      <c r="D35" s="37">
        <f t="shared" si="17"/>
        <v>569</v>
      </c>
      <c r="E35" s="37">
        <f t="shared" si="17"/>
        <v>560</v>
      </c>
      <c r="F35" s="37">
        <f t="shared" si="17"/>
        <v>602</v>
      </c>
      <c r="G35" s="37">
        <f t="shared" si="17"/>
        <v>611</v>
      </c>
      <c r="H35" s="37">
        <f t="shared" si="17"/>
        <v>552</v>
      </c>
      <c r="I35" s="37">
        <f t="shared" si="17"/>
        <v>674</v>
      </c>
      <c r="J35" s="37">
        <f t="shared" ref="J35:M35" si="18">SUM(J51)</f>
        <v>593</v>
      </c>
      <c r="K35" s="37">
        <f t="shared" si="18"/>
        <v>535</v>
      </c>
      <c r="L35" s="37">
        <f t="shared" si="18"/>
        <v>574</v>
      </c>
      <c r="M35" s="37">
        <f t="shared" si="18"/>
        <v>575</v>
      </c>
      <c r="N35" s="56">
        <f t="shared" ref="N35" si="19">SUM(N51)</f>
        <v>491</v>
      </c>
      <c r="O35" s="58">
        <f t="shared" ref="O35" si="20">SUM(B35:N35)</f>
        <v>7495</v>
      </c>
      <c r="P35" s="3"/>
      <c r="Q35" s="129"/>
      <c r="T35" s="91"/>
      <c r="U35" s="91"/>
    </row>
    <row r="36" spans="1:21" ht="30" customHeight="1" x14ac:dyDescent="0.25">
      <c r="A36" s="12" t="s">
        <v>13</v>
      </c>
      <c r="B36" s="34">
        <f t="shared" ref="B36:M36" si="21">SUM(B32/B34)</f>
        <v>3.3866057838660577</v>
      </c>
      <c r="C36" s="34">
        <f t="shared" si="21"/>
        <v>3.5254237288135593</v>
      </c>
      <c r="D36" s="34">
        <f t="shared" si="21"/>
        <v>3.2858707557502735</v>
      </c>
      <c r="E36" s="34">
        <f t="shared" si="21"/>
        <v>6.8198395331874542</v>
      </c>
      <c r="F36" s="34">
        <f t="shared" si="21"/>
        <v>5.0972501676727031</v>
      </c>
      <c r="G36" s="34">
        <f t="shared" si="21"/>
        <v>6.2845303867403315</v>
      </c>
      <c r="H36" s="34">
        <f t="shared" si="21"/>
        <v>6.043165467625899</v>
      </c>
      <c r="I36" s="34">
        <f t="shared" si="21"/>
        <v>2.9219663114472327</v>
      </c>
      <c r="J36" s="34">
        <f t="shared" si="21"/>
        <v>3.2187271397220192</v>
      </c>
      <c r="K36" s="34">
        <f t="shared" si="21"/>
        <v>2.1164021164021163</v>
      </c>
      <c r="L36" s="34">
        <f t="shared" si="21"/>
        <v>2.7348394768133168</v>
      </c>
      <c r="M36" s="34">
        <f t="shared" si="21"/>
        <v>3.0290952570745318</v>
      </c>
      <c r="N36" s="94">
        <f t="shared" ref="N36:O36" si="22">SUM(N32/N34)</f>
        <v>3.3132530120481927</v>
      </c>
      <c r="O36" s="61">
        <f t="shared" si="22"/>
        <v>4.0343445256304546</v>
      </c>
      <c r="P36" s="6"/>
      <c r="T36" s="92"/>
      <c r="U36" s="92"/>
    </row>
    <row r="38" spans="1:21" x14ac:dyDescent="0.25">
      <c r="A38" s="130" t="s">
        <v>101</v>
      </c>
    </row>
    <row r="39" spans="1:21" ht="15" hidden="1" customHeight="1" x14ac:dyDescent="0.25">
      <c r="A39" s="12" t="s">
        <v>96</v>
      </c>
      <c r="B39" s="33" t="s">
        <v>70</v>
      </c>
      <c r="C39" s="33" t="s">
        <v>81</v>
      </c>
      <c r="D39" s="33" t="s">
        <v>82</v>
      </c>
      <c r="E39" s="33" t="s">
        <v>104</v>
      </c>
      <c r="F39" s="33" t="s">
        <v>117</v>
      </c>
      <c r="G39" s="33" t="s">
        <v>124</v>
      </c>
      <c r="H39" s="33" t="s">
        <v>156</v>
      </c>
      <c r="I39" s="33" t="s">
        <v>161</v>
      </c>
      <c r="J39" s="33" t="s">
        <v>162</v>
      </c>
      <c r="K39" s="33" t="s">
        <v>166</v>
      </c>
      <c r="L39" s="33" t="s">
        <v>176</v>
      </c>
      <c r="M39" s="33" t="s">
        <v>182</v>
      </c>
      <c r="N39" s="55" t="s">
        <v>186</v>
      </c>
      <c r="O39" s="132" t="s">
        <v>95</v>
      </c>
      <c r="Q39" s="162" t="s">
        <v>102</v>
      </c>
    </row>
    <row r="40" spans="1:21" ht="15" hidden="1" customHeight="1" x14ac:dyDescent="0.25">
      <c r="A40" s="12" t="s">
        <v>83</v>
      </c>
      <c r="B40" s="131">
        <v>50</v>
      </c>
      <c r="C40" s="131">
        <v>32</v>
      </c>
      <c r="D40" s="134">
        <v>29</v>
      </c>
      <c r="E40" s="134">
        <v>61</v>
      </c>
      <c r="F40" s="134">
        <v>59</v>
      </c>
      <c r="G40" s="134">
        <v>71</v>
      </c>
      <c r="H40" s="134">
        <v>55</v>
      </c>
      <c r="I40" s="134">
        <v>35</v>
      </c>
      <c r="J40" s="134">
        <v>35</v>
      </c>
      <c r="K40" s="134">
        <v>14</v>
      </c>
      <c r="L40" s="134">
        <v>11</v>
      </c>
      <c r="M40" s="134">
        <v>10</v>
      </c>
      <c r="N40" s="163">
        <v>31</v>
      </c>
      <c r="O40" s="135">
        <f>SUM(B40:N40)</f>
        <v>493</v>
      </c>
      <c r="Q40" s="161"/>
    </row>
    <row r="41" spans="1:21" ht="15" hidden="1" customHeight="1" x14ac:dyDescent="0.25">
      <c r="A41" s="12" t="s">
        <v>84</v>
      </c>
      <c r="B41" s="131">
        <v>26</v>
      </c>
      <c r="C41" s="131">
        <v>30</v>
      </c>
      <c r="D41" s="134">
        <v>27</v>
      </c>
      <c r="E41" s="134">
        <v>56</v>
      </c>
      <c r="F41" s="134">
        <v>50</v>
      </c>
      <c r="G41" s="134">
        <v>59</v>
      </c>
      <c r="H41" s="134">
        <v>52</v>
      </c>
      <c r="I41" s="134">
        <v>27</v>
      </c>
      <c r="J41" s="134">
        <v>34</v>
      </c>
      <c r="K41" s="134">
        <v>17</v>
      </c>
      <c r="L41" s="134">
        <v>23</v>
      </c>
      <c r="M41" s="134">
        <v>24</v>
      </c>
      <c r="N41" s="163">
        <v>22</v>
      </c>
      <c r="O41" s="135">
        <f>SUM(B41:N41)</f>
        <v>447</v>
      </c>
      <c r="Q41" s="161"/>
    </row>
    <row r="42" spans="1:21" ht="15" hidden="1" customHeight="1" x14ac:dyDescent="0.25">
      <c r="A42" s="12" t="s">
        <v>85</v>
      </c>
      <c r="B42" s="131">
        <v>10</v>
      </c>
      <c r="C42" s="131">
        <v>25</v>
      </c>
      <c r="D42" s="134">
        <v>23</v>
      </c>
      <c r="E42" s="134">
        <v>39</v>
      </c>
      <c r="F42" s="134">
        <v>28</v>
      </c>
      <c r="G42" s="134">
        <v>32</v>
      </c>
      <c r="H42" s="134">
        <v>54</v>
      </c>
      <c r="I42" s="134">
        <v>21</v>
      </c>
      <c r="J42" s="134">
        <v>19</v>
      </c>
      <c r="K42" s="134">
        <v>17</v>
      </c>
      <c r="L42" s="134">
        <v>29</v>
      </c>
      <c r="M42" s="134">
        <v>34</v>
      </c>
      <c r="N42" s="163">
        <v>17</v>
      </c>
      <c r="O42" s="135">
        <f>SUM(B42:N42)</f>
        <v>348</v>
      </c>
      <c r="Q42" s="161"/>
    </row>
    <row r="43" spans="1:21" ht="15" hidden="1" customHeight="1" thickBot="1" x14ac:dyDescent="0.3">
      <c r="A43" s="142" t="s">
        <v>86</v>
      </c>
      <c r="B43" s="137">
        <v>3</v>
      </c>
      <c r="C43" s="137">
        <v>17</v>
      </c>
      <c r="D43" s="138">
        <v>11</v>
      </c>
      <c r="E43" s="138">
        <v>31</v>
      </c>
      <c r="F43" s="138">
        <v>15</v>
      </c>
      <c r="G43" s="138">
        <v>20</v>
      </c>
      <c r="H43" s="138">
        <v>7</v>
      </c>
      <c r="I43" s="138">
        <v>2</v>
      </c>
      <c r="J43" s="138">
        <v>0</v>
      </c>
      <c r="K43" s="138">
        <v>4</v>
      </c>
      <c r="L43" s="138">
        <v>6</v>
      </c>
      <c r="M43" s="138">
        <v>8</v>
      </c>
      <c r="N43" s="164">
        <v>7</v>
      </c>
      <c r="O43" s="135">
        <f>SUM(B43:N43)</f>
        <v>131</v>
      </c>
      <c r="Q43" s="161"/>
    </row>
    <row r="44" spans="1:21" ht="15" hidden="1" customHeight="1" x14ac:dyDescent="0.25">
      <c r="A44" s="143" t="s">
        <v>95</v>
      </c>
      <c r="B44" s="139">
        <f t="shared" ref="B44:D44" si="23">SUM(B40:B43)</f>
        <v>89</v>
      </c>
      <c r="C44" s="139">
        <f t="shared" si="23"/>
        <v>104</v>
      </c>
      <c r="D44" s="139">
        <f t="shared" si="23"/>
        <v>90</v>
      </c>
      <c r="E44" s="139">
        <f t="shared" ref="E44:M44" si="24">SUM(E40:E43)</f>
        <v>187</v>
      </c>
      <c r="F44" s="139">
        <f t="shared" si="24"/>
        <v>152</v>
      </c>
      <c r="G44" s="139">
        <f t="shared" si="24"/>
        <v>182</v>
      </c>
      <c r="H44" s="139">
        <f t="shared" si="24"/>
        <v>168</v>
      </c>
      <c r="I44" s="139">
        <f t="shared" si="24"/>
        <v>85</v>
      </c>
      <c r="J44" s="139">
        <f t="shared" si="24"/>
        <v>88</v>
      </c>
      <c r="K44" s="139">
        <f t="shared" si="24"/>
        <v>52</v>
      </c>
      <c r="L44" s="140">
        <f t="shared" si="24"/>
        <v>69</v>
      </c>
      <c r="M44" s="140">
        <f t="shared" si="24"/>
        <v>76</v>
      </c>
      <c r="N44" s="165">
        <f t="shared" ref="N44:O44" si="25">SUM(N40:N43)</f>
        <v>77</v>
      </c>
      <c r="O44" s="141">
        <f t="shared" si="25"/>
        <v>1419</v>
      </c>
      <c r="P44" s="3"/>
      <c r="Q44" s="161"/>
    </row>
    <row r="45" spans="1:21" ht="15" hidden="1" customHeight="1" x14ac:dyDescent="0.25">
      <c r="N45">
        <f>SUM(N41:N43)</f>
        <v>46</v>
      </c>
      <c r="Q45" s="161"/>
    </row>
    <row r="46" spans="1:21" ht="15" hidden="1" customHeight="1" x14ac:dyDescent="0.25">
      <c r="A46" s="12" t="s">
        <v>97</v>
      </c>
      <c r="B46" s="33" t="s">
        <v>70</v>
      </c>
      <c r="C46" s="33" t="s">
        <v>81</v>
      </c>
      <c r="D46" s="33" t="s">
        <v>82</v>
      </c>
      <c r="E46" s="33" t="s">
        <v>104</v>
      </c>
      <c r="F46" s="33" t="s">
        <v>117</v>
      </c>
      <c r="G46" s="33" t="s">
        <v>124</v>
      </c>
      <c r="H46" s="33" t="s">
        <v>156</v>
      </c>
      <c r="I46" s="33" t="s">
        <v>161</v>
      </c>
      <c r="J46" s="33" t="s">
        <v>162</v>
      </c>
      <c r="K46" s="33" t="s">
        <v>166</v>
      </c>
      <c r="L46" s="33" t="s">
        <v>176</v>
      </c>
      <c r="M46" s="33" t="s">
        <v>182</v>
      </c>
      <c r="N46" s="55" t="s">
        <v>186</v>
      </c>
      <c r="O46" s="132" t="s">
        <v>95</v>
      </c>
      <c r="Q46" s="161"/>
    </row>
    <row r="47" spans="1:21" ht="15" hidden="1" customHeight="1" x14ac:dyDescent="0.25">
      <c r="A47" s="12" t="s">
        <v>91</v>
      </c>
      <c r="B47" s="131">
        <v>160</v>
      </c>
      <c r="C47" s="131">
        <v>176</v>
      </c>
      <c r="D47" s="134">
        <v>160</v>
      </c>
      <c r="E47" s="134">
        <v>160</v>
      </c>
      <c r="F47" s="134">
        <v>168</v>
      </c>
      <c r="G47" s="134">
        <v>168</v>
      </c>
      <c r="H47" s="134">
        <v>168</v>
      </c>
      <c r="I47" s="134">
        <v>176</v>
      </c>
      <c r="J47" s="134">
        <v>176</v>
      </c>
      <c r="K47" s="134">
        <v>160</v>
      </c>
      <c r="L47" s="134">
        <v>176</v>
      </c>
      <c r="M47" s="134">
        <v>176</v>
      </c>
      <c r="N47" s="163">
        <v>152</v>
      </c>
      <c r="O47" s="135">
        <f>SUM(B47:N47)</f>
        <v>2176</v>
      </c>
      <c r="Q47" s="161"/>
    </row>
    <row r="48" spans="1:21" ht="15" hidden="1" customHeight="1" x14ac:dyDescent="0.25">
      <c r="A48" s="12" t="s">
        <v>92</v>
      </c>
      <c r="B48" s="131">
        <v>154</v>
      </c>
      <c r="C48" s="131">
        <v>165</v>
      </c>
      <c r="D48" s="134">
        <v>161</v>
      </c>
      <c r="E48" s="134">
        <v>153</v>
      </c>
      <c r="F48" s="134">
        <v>167</v>
      </c>
      <c r="G48" s="134">
        <v>158</v>
      </c>
      <c r="H48" s="134">
        <v>151</v>
      </c>
      <c r="I48" s="134">
        <v>157</v>
      </c>
      <c r="J48" s="134">
        <v>161</v>
      </c>
      <c r="K48" s="134">
        <v>151</v>
      </c>
      <c r="L48" s="134">
        <v>145</v>
      </c>
      <c r="M48" s="134">
        <v>137</v>
      </c>
      <c r="N48" s="163">
        <v>118</v>
      </c>
      <c r="O48" s="135">
        <f>SUM(B48:N48)</f>
        <v>1978</v>
      </c>
      <c r="Q48" s="161"/>
    </row>
    <row r="49" spans="1:17" ht="15" hidden="1" customHeight="1" x14ac:dyDescent="0.25">
      <c r="A49" s="12" t="s">
        <v>93</v>
      </c>
      <c r="B49" s="131">
        <v>147</v>
      </c>
      <c r="C49" s="131">
        <v>160</v>
      </c>
      <c r="D49" s="134">
        <v>168</v>
      </c>
      <c r="E49" s="134">
        <v>150</v>
      </c>
      <c r="F49" s="134">
        <v>162</v>
      </c>
      <c r="G49" s="134">
        <v>159</v>
      </c>
      <c r="H49" s="134">
        <v>158</v>
      </c>
      <c r="I49" s="134">
        <v>263</v>
      </c>
      <c r="J49" s="134">
        <v>168</v>
      </c>
      <c r="K49" s="134">
        <v>148</v>
      </c>
      <c r="L49" s="134">
        <v>163</v>
      </c>
      <c r="M49" s="134">
        <v>166</v>
      </c>
      <c r="N49" s="163">
        <v>173</v>
      </c>
      <c r="O49" s="135">
        <f>SUM(B49:N49)</f>
        <v>2185</v>
      </c>
      <c r="Q49" s="161"/>
    </row>
    <row r="50" spans="1:17" ht="15" hidden="1" customHeight="1" thickBot="1" x14ac:dyDescent="0.3">
      <c r="A50" s="12" t="s">
        <v>94</v>
      </c>
      <c r="B50" s="137">
        <v>112</v>
      </c>
      <c r="C50" s="137">
        <v>85</v>
      </c>
      <c r="D50" s="138">
        <v>80</v>
      </c>
      <c r="E50" s="138">
        <v>97</v>
      </c>
      <c r="F50" s="138">
        <v>105</v>
      </c>
      <c r="G50" s="138">
        <v>126</v>
      </c>
      <c r="H50" s="138">
        <v>75</v>
      </c>
      <c r="I50" s="138">
        <v>78</v>
      </c>
      <c r="J50" s="138">
        <v>88</v>
      </c>
      <c r="K50" s="138">
        <v>76</v>
      </c>
      <c r="L50" s="138">
        <v>90</v>
      </c>
      <c r="M50" s="138">
        <v>96</v>
      </c>
      <c r="N50" s="164">
        <v>48</v>
      </c>
      <c r="O50" s="135">
        <f>SUM(B50:N50)</f>
        <v>1156</v>
      </c>
      <c r="Q50" s="161"/>
    </row>
    <row r="51" spans="1:17" ht="15" hidden="1" customHeight="1" x14ac:dyDescent="0.25">
      <c r="A51" s="143" t="s">
        <v>95</v>
      </c>
      <c r="B51" s="139">
        <f t="shared" ref="B51" si="26">SUM(B47:B50)</f>
        <v>573</v>
      </c>
      <c r="C51" s="139">
        <f t="shared" ref="C51" si="27">SUM(C47:C50)</f>
        <v>586</v>
      </c>
      <c r="D51" s="139">
        <f t="shared" ref="D51" si="28">SUM(D47:D50)</f>
        <v>569</v>
      </c>
      <c r="E51" s="139">
        <f t="shared" ref="E51" si="29">SUM(E47:E50)</f>
        <v>560</v>
      </c>
      <c r="F51" s="139">
        <f t="shared" ref="F51" si="30">SUM(F47:F50)</f>
        <v>602</v>
      </c>
      <c r="G51" s="139">
        <f t="shared" ref="G51" si="31">SUM(G47:G50)</f>
        <v>611</v>
      </c>
      <c r="H51" s="139">
        <f t="shared" ref="H51" si="32">SUM(H47:H50)</f>
        <v>552</v>
      </c>
      <c r="I51" s="139">
        <f t="shared" ref="I51" si="33">SUM(I47:I50)</f>
        <v>674</v>
      </c>
      <c r="J51" s="139">
        <f t="shared" ref="J51" si="34">SUM(J47:J50)</f>
        <v>593</v>
      </c>
      <c r="K51" s="139">
        <f t="shared" ref="K51:M51" si="35">SUM(K47:K50)</f>
        <v>535</v>
      </c>
      <c r="L51" s="140">
        <f t="shared" si="35"/>
        <v>574</v>
      </c>
      <c r="M51" s="140">
        <f t="shared" si="35"/>
        <v>575</v>
      </c>
      <c r="N51" s="165">
        <f t="shared" ref="N51" si="36">SUM(N47:N50)</f>
        <v>491</v>
      </c>
      <c r="O51" s="141">
        <f t="shared" ref="O51" si="37">SUM(O47:O50)</f>
        <v>7495</v>
      </c>
      <c r="P51" s="3"/>
      <c r="Q51" s="161"/>
    </row>
    <row r="52" spans="1:17" ht="15" hidden="1" customHeight="1" x14ac:dyDescent="0.25">
      <c r="N52">
        <f>SUM(N48:N50)</f>
        <v>339</v>
      </c>
      <c r="Q52" s="161"/>
    </row>
    <row r="53" spans="1:17" ht="15" hidden="1" customHeight="1" x14ac:dyDescent="0.25">
      <c r="A53" s="12" t="s">
        <v>98</v>
      </c>
      <c r="B53" s="33" t="s">
        <v>70</v>
      </c>
      <c r="C53" s="33" t="s">
        <v>81</v>
      </c>
      <c r="D53" s="33" t="s">
        <v>82</v>
      </c>
      <c r="E53" s="33" t="s">
        <v>104</v>
      </c>
      <c r="F53" s="33" t="s">
        <v>117</v>
      </c>
      <c r="G53" s="33" t="s">
        <v>124</v>
      </c>
      <c r="H53" s="33" t="s">
        <v>156</v>
      </c>
      <c r="I53" s="33" t="s">
        <v>161</v>
      </c>
      <c r="J53" s="33" t="s">
        <v>162</v>
      </c>
      <c r="K53" s="33" t="s">
        <v>166</v>
      </c>
      <c r="L53" s="33" t="s">
        <v>176</v>
      </c>
      <c r="M53" s="33" t="s">
        <v>182</v>
      </c>
      <c r="N53" s="55" t="s">
        <v>186</v>
      </c>
      <c r="O53" s="132" t="s">
        <v>95</v>
      </c>
      <c r="Q53" s="161"/>
    </row>
    <row r="54" spans="1:17" ht="15" hidden="1" customHeight="1" x14ac:dyDescent="0.25">
      <c r="A54" s="12" t="s">
        <v>87</v>
      </c>
      <c r="B54" s="144">
        <v>6.18</v>
      </c>
      <c r="C54" s="144">
        <v>6.88</v>
      </c>
      <c r="D54" s="145">
        <v>5.7</v>
      </c>
      <c r="E54" s="145">
        <v>6.15</v>
      </c>
      <c r="F54" s="145">
        <v>6.4</v>
      </c>
      <c r="G54" s="145">
        <v>6.41</v>
      </c>
      <c r="H54" s="145">
        <v>6.63</v>
      </c>
      <c r="I54" s="145">
        <v>6.68</v>
      </c>
      <c r="J54" s="145">
        <v>6.64</v>
      </c>
      <c r="K54" s="145">
        <v>5.3</v>
      </c>
      <c r="L54" s="145">
        <v>6.92</v>
      </c>
      <c r="M54" s="145">
        <v>6.87</v>
      </c>
      <c r="N54" s="166">
        <v>5.59</v>
      </c>
      <c r="O54" s="146">
        <f>SUM(B54:N54)</f>
        <v>82.350000000000009</v>
      </c>
      <c r="Q54" s="161"/>
    </row>
    <row r="55" spans="1:17" ht="15" hidden="1" customHeight="1" x14ac:dyDescent="0.25">
      <c r="A55" s="12" t="s">
        <v>88</v>
      </c>
      <c r="B55" s="144">
        <v>7.75</v>
      </c>
      <c r="C55" s="144">
        <v>9.6199999999999992</v>
      </c>
      <c r="D55" s="145">
        <v>7.47</v>
      </c>
      <c r="E55" s="145">
        <v>8.25</v>
      </c>
      <c r="F55" s="145">
        <v>9.57</v>
      </c>
      <c r="G55" s="145">
        <v>7.05</v>
      </c>
      <c r="H55" s="145">
        <v>6.38</v>
      </c>
      <c r="I55" s="145">
        <v>6.43</v>
      </c>
      <c r="J55" s="145">
        <v>6.63</v>
      </c>
      <c r="K55" s="145">
        <v>7.32</v>
      </c>
      <c r="L55" s="145">
        <v>5.9</v>
      </c>
      <c r="M55" s="145">
        <v>5.52</v>
      </c>
      <c r="N55" s="166">
        <v>5.15</v>
      </c>
      <c r="O55" s="146">
        <f>SUM(B55:N55)</f>
        <v>93.04</v>
      </c>
      <c r="Q55" s="161"/>
    </row>
    <row r="56" spans="1:17" ht="15" hidden="1" customHeight="1" x14ac:dyDescent="0.25">
      <c r="A56" s="12" t="s">
        <v>89</v>
      </c>
      <c r="B56" s="144">
        <v>6.35</v>
      </c>
      <c r="C56" s="144">
        <v>8.5500000000000007</v>
      </c>
      <c r="D56" s="145">
        <v>10.07</v>
      </c>
      <c r="E56" s="145">
        <v>8.35</v>
      </c>
      <c r="F56" s="145">
        <v>8.6999999999999993</v>
      </c>
      <c r="G56" s="145">
        <v>9.67</v>
      </c>
      <c r="H56" s="145">
        <v>10.27</v>
      </c>
      <c r="I56" s="145">
        <v>11.28</v>
      </c>
      <c r="J56" s="145">
        <v>9.5500000000000007</v>
      </c>
      <c r="K56" s="145">
        <v>8.08</v>
      </c>
      <c r="L56" s="145">
        <v>8.3800000000000008</v>
      </c>
      <c r="M56" s="145">
        <v>8.48</v>
      </c>
      <c r="N56" s="166">
        <v>7.97</v>
      </c>
      <c r="O56" s="146">
        <f>SUM(B56:N56)</f>
        <v>115.69999999999999</v>
      </c>
      <c r="Q56" s="161"/>
    </row>
    <row r="57" spans="1:17" ht="15" hidden="1" customHeight="1" thickBot="1" x14ac:dyDescent="0.3">
      <c r="A57" s="12" t="s">
        <v>90</v>
      </c>
      <c r="B57" s="147">
        <v>6</v>
      </c>
      <c r="C57" s="147">
        <v>4.45</v>
      </c>
      <c r="D57" s="148">
        <v>4.1500000000000004</v>
      </c>
      <c r="E57" s="148">
        <v>4.67</v>
      </c>
      <c r="F57" s="148">
        <v>5.15</v>
      </c>
      <c r="G57" s="148">
        <v>5.83</v>
      </c>
      <c r="H57" s="148">
        <v>4.5199999999999996</v>
      </c>
      <c r="I57" s="148">
        <v>4.7</v>
      </c>
      <c r="J57" s="148">
        <v>4.5199999999999996</v>
      </c>
      <c r="K57" s="148">
        <v>3.87</v>
      </c>
      <c r="L57" s="148">
        <v>4.03</v>
      </c>
      <c r="M57" s="148">
        <v>4.22</v>
      </c>
      <c r="N57" s="167">
        <v>4.53</v>
      </c>
      <c r="O57" s="146">
        <f>SUM(B57:N57)</f>
        <v>60.639999999999993</v>
      </c>
      <c r="Q57" s="161"/>
    </row>
    <row r="58" spans="1:17" ht="15" hidden="1" customHeight="1" x14ac:dyDescent="0.25">
      <c r="A58" s="143" t="s">
        <v>95</v>
      </c>
      <c r="B58" s="149">
        <f t="shared" ref="B58" si="38">SUM(B54:B57)</f>
        <v>26.28</v>
      </c>
      <c r="C58" s="149">
        <f t="shared" ref="C58" si="39">SUM(C54:C57)</f>
        <v>29.5</v>
      </c>
      <c r="D58" s="149">
        <f t="shared" ref="D58" si="40">SUM(D54:D57)</f>
        <v>27.39</v>
      </c>
      <c r="E58" s="149">
        <f t="shared" ref="E58" si="41">SUM(E54:E57)</f>
        <v>27.42</v>
      </c>
      <c r="F58" s="149">
        <f t="shared" ref="F58" si="42">SUM(F54:F57)</f>
        <v>29.82</v>
      </c>
      <c r="G58" s="149">
        <f t="shared" ref="G58" si="43">SUM(G54:G57)</f>
        <v>28.96</v>
      </c>
      <c r="H58" s="149">
        <f t="shared" ref="H58" si="44">SUM(H54:H57)</f>
        <v>27.8</v>
      </c>
      <c r="I58" s="149">
        <f t="shared" ref="I58" si="45">SUM(I54:I57)</f>
        <v>29.09</v>
      </c>
      <c r="J58" s="149">
        <f t="shared" ref="J58" si="46">SUM(J54:J57)</f>
        <v>27.34</v>
      </c>
      <c r="K58" s="149">
        <f t="shared" ref="K58:M58" si="47">SUM(K54:K57)</f>
        <v>24.570000000000004</v>
      </c>
      <c r="L58" s="150">
        <f t="shared" si="47"/>
        <v>25.230000000000004</v>
      </c>
      <c r="M58" s="150">
        <f t="shared" si="47"/>
        <v>25.09</v>
      </c>
      <c r="N58" s="168">
        <f t="shared" ref="N58" si="48">SUM(N54:N57)</f>
        <v>23.240000000000002</v>
      </c>
      <c r="O58" s="151">
        <f t="shared" ref="O58" si="49">SUM(O54:O57)</f>
        <v>351.73</v>
      </c>
      <c r="P58" s="92"/>
      <c r="Q58" s="161"/>
    </row>
    <row r="59" spans="1:17" hidden="1" x14ac:dyDescent="0.25">
      <c r="N59" s="92">
        <f>SUM(N55:N57)</f>
        <v>17.650000000000002</v>
      </c>
    </row>
    <row r="62" spans="1:17" x14ac:dyDescent="0.25">
      <c r="N62" s="92"/>
    </row>
  </sheetData>
  <sheetProtection algorithmName="SHA-512" hashValue="itUe5t0GFzgy5A0xABAv2Ct3dsqhDSekz1DRRfnof16+z1HMY7DCqtJT9CWrJY83f11CUd0cLF9R8ORTL4Q9/A==" saltValue="3h2h9TMGbZL++ohY+8+10g==" spinCount="100000" sheet="1" objects="1" scenarios="1"/>
  <mergeCells count="6">
    <mergeCell ref="L25:N25"/>
    <mergeCell ref="I25:K25"/>
    <mergeCell ref="F25:H25"/>
    <mergeCell ref="C25:E25"/>
    <mergeCell ref="A1:P1"/>
    <mergeCell ref="A2:P2"/>
  </mergeCells>
  <phoneticPr fontId="5" type="noConversion"/>
  <pageMargins left="0.25" right="0.25" top="0.75" bottom="0.75" header="0.3" footer="0.3"/>
  <pageSetup scale="7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3FED-C279-4DDA-BBE2-D82FF1E1FC29}">
  <sheetPr>
    <tabColor rgb="FF92D050"/>
    <pageSetUpPr fitToPage="1"/>
  </sheetPr>
  <dimension ref="A1:T80"/>
  <sheetViews>
    <sheetView workbookViewId="0">
      <selection sqref="A1:O1"/>
    </sheetView>
  </sheetViews>
  <sheetFormatPr defaultRowHeight="15" x14ac:dyDescent="0.25"/>
  <cols>
    <col min="1" max="1" width="20.7109375" customWidth="1"/>
    <col min="2" max="14" width="10.7109375" customWidth="1"/>
    <col min="15" max="15" width="15.7109375" customWidth="1"/>
    <col min="16" max="16" width="9.7109375" customWidth="1"/>
    <col min="19" max="19" width="9.140625" customWidth="1"/>
    <col min="20" max="20" width="15.7109375" customWidth="1"/>
  </cols>
  <sheetData>
    <row r="1" spans="1:16" ht="21" customHeight="1" x14ac:dyDescent="0.35">
      <c r="A1" s="215" t="s">
        <v>183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7"/>
    </row>
    <row r="2" spans="1:16" ht="21" customHeight="1" x14ac:dyDescent="0.35">
      <c r="A2" s="215" t="s">
        <v>114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ht="21" x14ac:dyDescent="0.35">
      <c r="H3" s="4"/>
    </row>
    <row r="10" spans="1:16" ht="20.100000000000001" customHeight="1" x14ac:dyDescent="0.25"/>
    <row r="11" spans="1:16" ht="20.100000000000001" customHeight="1" x14ac:dyDescent="0.25"/>
    <row r="12" spans="1:16" ht="20.100000000000001" customHeight="1" x14ac:dyDescent="0.25"/>
    <row r="13" spans="1:16" ht="20.100000000000001" customHeight="1" x14ac:dyDescent="0.25"/>
    <row r="25" spans="1:20" x14ac:dyDescent="0.25">
      <c r="B25" s="211" t="s">
        <v>9</v>
      </c>
      <c r="C25" s="213" t="s">
        <v>8</v>
      </c>
      <c r="D25" s="213"/>
      <c r="E25" s="213"/>
      <c r="F25" s="213" t="s">
        <v>26</v>
      </c>
      <c r="G25" s="213"/>
      <c r="H25" s="213"/>
      <c r="I25" s="213" t="s">
        <v>10</v>
      </c>
      <c r="J25" s="213"/>
      <c r="K25" s="213"/>
      <c r="L25" s="213" t="s">
        <v>9</v>
      </c>
      <c r="M25" s="213"/>
      <c r="N25" s="214"/>
      <c r="O25" s="119" t="s">
        <v>187</v>
      </c>
    </row>
    <row r="26" spans="1:20" s="5" customFormat="1" ht="15.75" x14ac:dyDescent="0.25">
      <c r="A26" s="20" t="s">
        <v>11</v>
      </c>
      <c r="B26" s="33" t="s">
        <v>70</v>
      </c>
      <c r="C26" s="33" t="s">
        <v>81</v>
      </c>
      <c r="D26" s="33" t="s">
        <v>82</v>
      </c>
      <c r="E26" s="33" t="s">
        <v>104</v>
      </c>
      <c r="F26" s="33" t="s">
        <v>117</v>
      </c>
      <c r="G26" s="33" t="s">
        <v>124</v>
      </c>
      <c r="H26" s="33" t="s">
        <v>156</v>
      </c>
      <c r="I26" s="33" t="s">
        <v>161</v>
      </c>
      <c r="J26" s="33" t="s">
        <v>162</v>
      </c>
      <c r="K26" s="33" t="s">
        <v>166</v>
      </c>
      <c r="L26" s="33" t="s">
        <v>176</v>
      </c>
      <c r="M26" s="33" t="s">
        <v>182</v>
      </c>
      <c r="N26" s="55" t="s">
        <v>186</v>
      </c>
      <c r="O26" s="57" t="s">
        <v>77</v>
      </c>
      <c r="P26"/>
    </row>
    <row r="27" spans="1:20" ht="20.100000000000001" customHeight="1" x14ac:dyDescent="0.25">
      <c r="A27" s="68" t="s">
        <v>105</v>
      </c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58">
        <f>SUM(C27:N27)</f>
        <v>0</v>
      </c>
      <c r="S27" s="90"/>
      <c r="T27" s="91"/>
    </row>
    <row r="28" spans="1:20" ht="20.100000000000001" customHeight="1" x14ac:dyDescent="0.25">
      <c r="A28" s="69" t="s">
        <v>106</v>
      </c>
      <c r="B28" s="37">
        <v>521</v>
      </c>
      <c r="C28" s="37">
        <v>502</v>
      </c>
      <c r="D28" s="37">
        <v>456</v>
      </c>
      <c r="E28" s="37">
        <v>350</v>
      </c>
      <c r="F28" s="37">
        <v>410</v>
      </c>
      <c r="G28" s="37">
        <v>481</v>
      </c>
      <c r="H28" s="37">
        <v>424</v>
      </c>
      <c r="I28" s="37">
        <v>353</v>
      </c>
      <c r="J28" s="37">
        <v>27</v>
      </c>
      <c r="K28" s="37">
        <v>1</v>
      </c>
      <c r="L28" s="37">
        <v>0</v>
      </c>
      <c r="M28" s="37">
        <v>0</v>
      </c>
      <c r="N28" s="56">
        <v>0</v>
      </c>
      <c r="O28" s="58">
        <f>SUM(C28:N28)</f>
        <v>3004</v>
      </c>
      <c r="S28" s="90"/>
      <c r="T28" s="91"/>
    </row>
    <row r="29" spans="1:20" ht="20.100000000000001" customHeight="1" thickBot="1" x14ac:dyDescent="0.3">
      <c r="A29" s="47" t="s">
        <v>107</v>
      </c>
      <c r="B29" s="37">
        <f t="shared" ref="B29:H29" si="0">SUM(B54)</f>
        <v>325</v>
      </c>
      <c r="C29" s="37">
        <f t="shared" si="0"/>
        <v>292</v>
      </c>
      <c r="D29" s="37">
        <f t="shared" si="0"/>
        <v>269</v>
      </c>
      <c r="E29" s="37">
        <f t="shared" si="0"/>
        <v>306</v>
      </c>
      <c r="F29" s="37">
        <f t="shared" si="0"/>
        <v>511</v>
      </c>
      <c r="G29" s="37">
        <f t="shared" si="0"/>
        <v>702</v>
      </c>
      <c r="H29" s="37">
        <f t="shared" si="0"/>
        <v>610</v>
      </c>
      <c r="I29" s="37">
        <f t="shared" ref="I29:N29" si="1">SUM(I54)</f>
        <v>815</v>
      </c>
      <c r="J29" s="37">
        <f t="shared" si="1"/>
        <v>896</v>
      </c>
      <c r="K29" s="37">
        <f t="shared" si="1"/>
        <v>857</v>
      </c>
      <c r="L29" s="37">
        <f t="shared" si="1"/>
        <v>877</v>
      </c>
      <c r="M29" s="37">
        <f t="shared" si="1"/>
        <v>724</v>
      </c>
      <c r="N29" s="56">
        <f t="shared" si="1"/>
        <v>528</v>
      </c>
      <c r="O29" s="58">
        <f>SUM(C29:N29)</f>
        <v>7387</v>
      </c>
      <c r="S29" s="90"/>
      <c r="T29" s="91"/>
    </row>
    <row r="30" spans="1:20" ht="20.100000000000001" hidden="1" customHeight="1" x14ac:dyDescent="0.3">
      <c r="A30" s="4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56"/>
      <c r="M30" s="37"/>
      <c r="N30" s="37"/>
      <c r="O30" s="58">
        <f t="shared" ref="O30:O31" si="2">SUM(C30:N30)</f>
        <v>0</v>
      </c>
      <c r="S30" s="90"/>
      <c r="T30" s="91"/>
    </row>
    <row r="31" spans="1:20" ht="20.100000000000001" hidden="1" customHeight="1" thickBot="1" x14ac:dyDescent="0.3">
      <c r="A31" s="4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56"/>
      <c r="M31" s="37"/>
      <c r="N31" s="37"/>
      <c r="O31" s="58">
        <f t="shared" si="2"/>
        <v>0</v>
      </c>
      <c r="S31" s="90"/>
      <c r="T31" s="91"/>
    </row>
    <row r="32" spans="1:20" ht="20.100000000000001" customHeight="1" x14ac:dyDescent="0.25">
      <c r="A32" s="19" t="s">
        <v>3</v>
      </c>
      <c r="B32" s="51">
        <f t="shared" ref="B32:M32" si="3">SUM(B27:B31)</f>
        <v>846</v>
      </c>
      <c r="C32" s="51">
        <f t="shared" si="3"/>
        <v>794</v>
      </c>
      <c r="D32" s="51">
        <f t="shared" si="3"/>
        <v>725</v>
      </c>
      <c r="E32" s="51">
        <f t="shared" si="3"/>
        <v>656</v>
      </c>
      <c r="F32" s="51">
        <f t="shared" si="3"/>
        <v>921</v>
      </c>
      <c r="G32" s="51">
        <f t="shared" si="3"/>
        <v>1183</v>
      </c>
      <c r="H32" s="51">
        <f t="shared" si="3"/>
        <v>1034</v>
      </c>
      <c r="I32" s="51">
        <f t="shared" si="3"/>
        <v>1168</v>
      </c>
      <c r="J32" s="51">
        <f t="shared" si="3"/>
        <v>923</v>
      </c>
      <c r="K32" s="51">
        <f t="shared" si="3"/>
        <v>858</v>
      </c>
      <c r="L32" s="51">
        <f t="shared" si="3"/>
        <v>877</v>
      </c>
      <c r="M32" s="51">
        <f t="shared" si="3"/>
        <v>724</v>
      </c>
      <c r="N32" s="62">
        <f t="shared" ref="N32" si="4">SUM(N27:N31)</f>
        <v>528</v>
      </c>
      <c r="O32" s="60">
        <f>SUM(C32:N32)</f>
        <v>10391</v>
      </c>
      <c r="S32" s="90"/>
      <c r="T32" s="91"/>
    </row>
    <row r="33" spans="1:20" ht="9.9499999999999993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93"/>
      <c r="O33" s="58"/>
      <c r="P33" s="3"/>
    </row>
    <row r="34" spans="1:20" ht="30" customHeight="1" x14ac:dyDescent="0.25">
      <c r="A34" s="12" t="s">
        <v>17</v>
      </c>
      <c r="B34" s="34">
        <f t="shared" ref="B34:I34" si="5">SUM(B40+B80)</f>
        <v>930.78</v>
      </c>
      <c r="C34" s="34">
        <f t="shared" si="5"/>
        <v>911.95</v>
      </c>
      <c r="D34" s="34">
        <f t="shared" si="5"/>
        <v>851.62</v>
      </c>
      <c r="E34" s="34">
        <f t="shared" si="5"/>
        <v>803.42000000000007</v>
      </c>
      <c r="F34" s="34">
        <f t="shared" si="5"/>
        <v>1220.8800000000001</v>
      </c>
      <c r="G34" s="34">
        <f t="shared" si="5"/>
        <v>1453.94</v>
      </c>
      <c r="H34" s="34">
        <f t="shared" si="5"/>
        <v>1259.81</v>
      </c>
      <c r="I34" s="34">
        <f t="shared" si="5"/>
        <v>1460.56</v>
      </c>
      <c r="J34" s="34">
        <f>SUM(J40+J80)</f>
        <v>1230.8900000000003</v>
      </c>
      <c r="K34" s="34">
        <f>SUM(K40+K80)</f>
        <v>1166.44</v>
      </c>
      <c r="L34" s="34">
        <f>SUM(L40+L80)</f>
        <v>1188.54</v>
      </c>
      <c r="M34" s="34">
        <f>SUM(M40+M80)</f>
        <v>947.90000000000009</v>
      </c>
      <c r="N34" s="94">
        <f>SUM(N40+N80)</f>
        <v>814.15</v>
      </c>
      <c r="O34" s="61">
        <f>SUM(C34:N34)</f>
        <v>13310.099999999999</v>
      </c>
      <c r="P34" s="3"/>
      <c r="S34" s="92"/>
      <c r="T34" s="92"/>
    </row>
    <row r="35" spans="1:20" ht="30" customHeight="1" x14ac:dyDescent="0.25">
      <c r="A35" s="12" t="s">
        <v>18</v>
      </c>
      <c r="B35" s="37">
        <f t="shared" ref="B35:I35" si="6">SUM(B41+B67)</f>
        <v>21373</v>
      </c>
      <c r="C35" s="37">
        <f t="shared" si="6"/>
        <v>18473</v>
      </c>
      <c r="D35" s="37">
        <f t="shared" si="6"/>
        <v>18505</v>
      </c>
      <c r="E35" s="37">
        <f t="shared" si="6"/>
        <v>19326</v>
      </c>
      <c r="F35" s="37">
        <f t="shared" si="6"/>
        <v>29359</v>
      </c>
      <c r="G35" s="37">
        <f t="shared" si="6"/>
        <v>37935</v>
      </c>
      <c r="H35" s="37">
        <f t="shared" si="6"/>
        <v>34770</v>
      </c>
      <c r="I35" s="37">
        <f t="shared" si="6"/>
        <v>41413</v>
      </c>
      <c r="J35" s="37">
        <f>SUM(J41+J67)</f>
        <v>37817</v>
      </c>
      <c r="K35" s="37">
        <f>SUM(K41+K67)</f>
        <v>36286</v>
      </c>
      <c r="L35" s="37">
        <f>SUM(L41+L67)</f>
        <v>35058</v>
      </c>
      <c r="M35" s="37">
        <f>SUM(M41+M67)</f>
        <v>29095</v>
      </c>
      <c r="N35" s="56">
        <f>SUM(N41+N67)</f>
        <v>24731</v>
      </c>
      <c r="O35" s="58">
        <f>SUM(C35:N35)</f>
        <v>362768</v>
      </c>
      <c r="P35" s="3"/>
      <c r="S35" s="91"/>
      <c r="T35" s="91"/>
    </row>
    <row r="36" spans="1:20" ht="30" customHeight="1" x14ac:dyDescent="0.25">
      <c r="A36" s="12" t="s">
        <v>13</v>
      </c>
      <c r="B36" s="80">
        <f t="shared" ref="B36:L36" si="7">SUM(B32/B34)</f>
        <v>0.90891510346161286</v>
      </c>
      <c r="C36" s="80">
        <f t="shared" si="7"/>
        <v>0.87066176873732104</v>
      </c>
      <c r="D36" s="80">
        <f t="shared" si="7"/>
        <v>0.85131866325356376</v>
      </c>
      <c r="E36" s="80">
        <f t="shared" si="7"/>
        <v>0.81650942222000944</v>
      </c>
      <c r="F36" s="80">
        <f t="shared" si="7"/>
        <v>0.75437389424022006</v>
      </c>
      <c r="G36" s="80">
        <f t="shared" si="7"/>
        <v>0.81365118230463429</v>
      </c>
      <c r="H36" s="80">
        <f t="shared" si="7"/>
        <v>0.82075868583357814</v>
      </c>
      <c r="I36" s="80">
        <f t="shared" si="7"/>
        <v>0.79969326833543297</v>
      </c>
      <c r="J36" s="80">
        <f t="shared" si="7"/>
        <v>0.74986391960288878</v>
      </c>
      <c r="K36" s="80">
        <f t="shared" si="7"/>
        <v>0.73557148245944926</v>
      </c>
      <c r="L36" s="80">
        <f t="shared" si="7"/>
        <v>0.73788008817540851</v>
      </c>
      <c r="M36" s="80">
        <f t="shared" ref="M36:N36" si="8">SUM(M32/M34)</f>
        <v>0.7637936491191053</v>
      </c>
      <c r="N36" s="85">
        <f t="shared" si="8"/>
        <v>0.64852914082171587</v>
      </c>
      <c r="O36" s="61">
        <f t="shared" ref="O36" si="9">SUM(O32/O34)</f>
        <v>0.78068534421228997</v>
      </c>
      <c r="P36" s="6"/>
      <c r="S36" s="92"/>
      <c r="T36" s="92"/>
    </row>
    <row r="38" spans="1:20" x14ac:dyDescent="0.25">
      <c r="A38" s="130" t="s">
        <v>101</v>
      </c>
    </row>
    <row r="39" spans="1:20" ht="15.75" hidden="1" x14ac:dyDescent="0.25">
      <c r="A39" s="20" t="s">
        <v>11</v>
      </c>
      <c r="B39" s="33" t="s">
        <v>70</v>
      </c>
      <c r="C39" s="33" t="s">
        <v>81</v>
      </c>
      <c r="D39" s="33" t="s">
        <v>82</v>
      </c>
      <c r="E39" s="33" t="s">
        <v>104</v>
      </c>
      <c r="F39" s="33" t="s">
        <v>117</v>
      </c>
      <c r="G39" s="33" t="s">
        <v>124</v>
      </c>
      <c r="H39" s="33" t="s">
        <v>156</v>
      </c>
      <c r="I39" s="33" t="s">
        <v>161</v>
      </c>
      <c r="J39" s="33" t="s">
        <v>162</v>
      </c>
      <c r="K39" s="33" t="s">
        <v>166</v>
      </c>
      <c r="L39" s="33" t="s">
        <v>176</v>
      </c>
      <c r="M39" s="33" t="s">
        <v>182</v>
      </c>
      <c r="N39" s="55" t="s">
        <v>186</v>
      </c>
      <c r="O39" s="57" t="s">
        <v>77</v>
      </c>
      <c r="Q39" s="162" t="s">
        <v>102</v>
      </c>
    </row>
    <row r="40" spans="1:20" hidden="1" x14ac:dyDescent="0.25">
      <c r="A40" s="12" t="s">
        <v>119</v>
      </c>
      <c r="B40" s="34">
        <v>504.62</v>
      </c>
      <c r="C40" s="34">
        <v>499.25</v>
      </c>
      <c r="D40" s="34">
        <v>448.12</v>
      </c>
      <c r="E40" s="34">
        <v>338.67</v>
      </c>
      <c r="F40" s="34">
        <v>385.75</v>
      </c>
      <c r="G40" s="34">
        <v>422.04</v>
      </c>
      <c r="H40" s="34">
        <v>392.76</v>
      </c>
      <c r="I40" s="34">
        <v>302.61</v>
      </c>
      <c r="J40" s="34">
        <v>27.64</v>
      </c>
      <c r="K40" s="34">
        <v>0.56999999999999995</v>
      </c>
      <c r="L40" s="34">
        <v>0</v>
      </c>
      <c r="M40" s="34">
        <v>0</v>
      </c>
      <c r="N40" s="94">
        <v>0</v>
      </c>
      <c r="O40" s="61">
        <f>SUM(B40:N40)</f>
        <v>3322.03</v>
      </c>
      <c r="Q40" s="159"/>
    </row>
    <row r="41" spans="1:20" hidden="1" x14ac:dyDescent="0.25">
      <c r="A41" s="12" t="s">
        <v>120</v>
      </c>
      <c r="B41" s="37">
        <v>8445</v>
      </c>
      <c r="C41" s="37">
        <v>6670</v>
      </c>
      <c r="D41" s="37">
        <v>6626</v>
      </c>
      <c r="E41" s="37">
        <v>5382</v>
      </c>
      <c r="F41" s="37">
        <v>4992</v>
      </c>
      <c r="G41" s="37">
        <v>6978</v>
      </c>
      <c r="H41" s="37">
        <v>6349</v>
      </c>
      <c r="I41" s="37">
        <v>4541</v>
      </c>
      <c r="J41" s="37">
        <v>594</v>
      </c>
      <c r="K41" s="37">
        <v>14</v>
      </c>
      <c r="L41" s="37">
        <v>0</v>
      </c>
      <c r="M41" s="37">
        <v>0</v>
      </c>
      <c r="N41" s="56">
        <v>0</v>
      </c>
      <c r="O41" s="58">
        <f>SUM(B41:N41)</f>
        <v>50591</v>
      </c>
      <c r="Q41" s="159"/>
    </row>
    <row r="42" spans="1:20" hidden="1" x14ac:dyDescent="0.25">
      <c r="A42" s="130"/>
      <c r="Q42" s="159"/>
    </row>
    <row r="43" spans="1:20" ht="15" hidden="1" customHeight="1" x14ac:dyDescent="0.25">
      <c r="A43" s="12" t="s">
        <v>111</v>
      </c>
      <c r="B43" s="169" t="s">
        <v>70</v>
      </c>
      <c r="C43" s="169" t="s">
        <v>81</v>
      </c>
      <c r="D43" s="169" t="s">
        <v>82</v>
      </c>
      <c r="E43" s="169" t="s">
        <v>104</v>
      </c>
      <c r="F43" s="33" t="s">
        <v>117</v>
      </c>
      <c r="G43" s="33" t="s">
        <v>124</v>
      </c>
      <c r="H43" s="33" t="s">
        <v>156</v>
      </c>
      <c r="I43" s="33" t="s">
        <v>161</v>
      </c>
      <c r="J43" s="33" t="s">
        <v>162</v>
      </c>
      <c r="K43" s="33" t="s">
        <v>166</v>
      </c>
      <c r="L43" s="33" t="s">
        <v>176</v>
      </c>
      <c r="M43" s="33" t="s">
        <v>182</v>
      </c>
      <c r="N43" s="55" t="s">
        <v>186</v>
      </c>
      <c r="O43" s="170" t="s">
        <v>77</v>
      </c>
      <c r="Q43" s="159"/>
    </row>
    <row r="44" spans="1:20" ht="15" hidden="1" customHeight="1" x14ac:dyDescent="0.25">
      <c r="A44" s="12" t="s">
        <v>108</v>
      </c>
      <c r="B44" s="131">
        <v>176</v>
      </c>
      <c r="C44" s="131">
        <v>133</v>
      </c>
      <c r="D44" s="131">
        <v>119</v>
      </c>
      <c r="E44" s="131">
        <v>128</v>
      </c>
      <c r="F44" s="131">
        <v>139</v>
      </c>
      <c r="G44" s="131">
        <v>185</v>
      </c>
      <c r="H44" s="131">
        <v>127</v>
      </c>
      <c r="I44" s="131">
        <v>150</v>
      </c>
      <c r="J44" s="131">
        <v>184</v>
      </c>
      <c r="K44" s="131">
        <v>147</v>
      </c>
      <c r="L44" s="131">
        <v>154</v>
      </c>
      <c r="M44" s="131">
        <v>160</v>
      </c>
      <c r="N44" s="179">
        <v>66</v>
      </c>
      <c r="O44" s="175">
        <f>SUM(B44:N44)</f>
        <v>1868</v>
      </c>
      <c r="Q44" s="159"/>
    </row>
    <row r="45" spans="1:20" ht="15" hidden="1" customHeight="1" x14ac:dyDescent="0.25">
      <c r="A45" s="12" t="s">
        <v>109</v>
      </c>
      <c r="B45" s="131">
        <v>114</v>
      </c>
      <c r="C45" s="131">
        <v>94</v>
      </c>
      <c r="D45" s="131">
        <v>87</v>
      </c>
      <c r="E45" s="131">
        <v>117</v>
      </c>
      <c r="F45" s="131">
        <v>115</v>
      </c>
      <c r="G45" s="131">
        <v>149</v>
      </c>
      <c r="H45" s="131">
        <v>164</v>
      </c>
      <c r="I45" s="131">
        <v>146</v>
      </c>
      <c r="J45" s="131">
        <v>96</v>
      </c>
      <c r="K45" s="131">
        <v>155</v>
      </c>
      <c r="L45" s="131">
        <v>140</v>
      </c>
      <c r="M45" s="131">
        <v>160</v>
      </c>
      <c r="N45" s="179">
        <v>146</v>
      </c>
      <c r="O45" s="175">
        <f>SUM(B45:N45)</f>
        <v>1683</v>
      </c>
      <c r="Q45" s="159"/>
    </row>
    <row r="46" spans="1:20" ht="15" hidden="1" customHeight="1" x14ac:dyDescent="0.25">
      <c r="A46" s="12" t="s">
        <v>110</v>
      </c>
      <c r="B46" s="131">
        <v>35</v>
      </c>
      <c r="C46" s="131">
        <v>63</v>
      </c>
      <c r="D46" s="131">
        <v>58</v>
      </c>
      <c r="E46" s="131">
        <v>48</v>
      </c>
      <c r="F46" s="131">
        <v>62</v>
      </c>
      <c r="G46" s="131">
        <v>68</v>
      </c>
      <c r="H46" s="131">
        <v>41</v>
      </c>
      <c r="I46" s="131">
        <v>46</v>
      </c>
      <c r="J46" s="131">
        <v>75</v>
      </c>
      <c r="K46" s="131">
        <v>49</v>
      </c>
      <c r="L46" s="131">
        <v>55</v>
      </c>
      <c r="M46" s="131">
        <v>63</v>
      </c>
      <c r="N46" s="179">
        <v>49</v>
      </c>
      <c r="O46" s="175">
        <f>SUM(B46:N46)</f>
        <v>712</v>
      </c>
      <c r="Q46" s="159"/>
    </row>
    <row r="47" spans="1:20" ht="15" hidden="1" customHeight="1" x14ac:dyDescent="0.25">
      <c r="A47" s="196" t="s">
        <v>167</v>
      </c>
      <c r="B47" s="133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75">
        <f t="shared" ref="O47:O48" si="10">SUM(B47:M47)</f>
        <v>0</v>
      </c>
      <c r="Q47" s="159"/>
    </row>
    <row r="48" spans="1:20" ht="15" hidden="1" customHeight="1" x14ac:dyDescent="0.25">
      <c r="A48" s="196" t="s">
        <v>168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  <c r="M48" s="133"/>
      <c r="N48" s="133"/>
      <c r="O48" s="175">
        <f t="shared" si="10"/>
        <v>0</v>
      </c>
      <c r="Q48" s="159"/>
    </row>
    <row r="49" spans="1:17" ht="15" hidden="1" customHeight="1" x14ac:dyDescent="0.25">
      <c r="A49" s="142" t="s">
        <v>160</v>
      </c>
      <c r="B49" s="136"/>
      <c r="C49" s="137">
        <v>2</v>
      </c>
      <c r="D49" s="137">
        <v>5</v>
      </c>
      <c r="E49" s="137">
        <v>13</v>
      </c>
      <c r="F49" s="137">
        <v>3</v>
      </c>
      <c r="G49" s="137">
        <v>0</v>
      </c>
      <c r="H49" s="137">
        <v>48</v>
      </c>
      <c r="I49" s="137">
        <v>171</v>
      </c>
      <c r="J49" s="137">
        <v>190</v>
      </c>
      <c r="K49" s="137">
        <v>160</v>
      </c>
      <c r="L49" s="137">
        <v>129</v>
      </c>
      <c r="M49" s="137">
        <v>106</v>
      </c>
      <c r="N49" s="133"/>
      <c r="O49" s="175">
        <f>SUM(B49:N49)</f>
        <v>827</v>
      </c>
      <c r="Q49" s="159"/>
    </row>
    <row r="50" spans="1:17" ht="15" hidden="1" customHeight="1" x14ac:dyDescent="0.25">
      <c r="A50" s="142" t="s">
        <v>121</v>
      </c>
      <c r="B50" s="136"/>
      <c r="C50" s="136"/>
      <c r="D50" s="136"/>
      <c r="E50" s="136"/>
      <c r="F50" s="137">
        <v>92</v>
      </c>
      <c r="G50" s="137">
        <v>187</v>
      </c>
      <c r="H50" s="137">
        <v>170</v>
      </c>
      <c r="I50" s="137">
        <v>149</v>
      </c>
      <c r="J50" s="137">
        <v>186</v>
      </c>
      <c r="K50" s="137">
        <v>174</v>
      </c>
      <c r="L50" s="137">
        <v>182</v>
      </c>
      <c r="M50" s="137">
        <v>31</v>
      </c>
      <c r="N50" s="133"/>
      <c r="O50" s="175">
        <f>SUM(B50:N50)</f>
        <v>1171</v>
      </c>
      <c r="Q50" s="159"/>
    </row>
    <row r="51" spans="1:17" ht="15" hidden="1" customHeight="1" x14ac:dyDescent="0.25">
      <c r="A51" s="142" t="s">
        <v>122</v>
      </c>
      <c r="B51" s="136"/>
      <c r="C51" s="136"/>
      <c r="D51" s="136"/>
      <c r="E51" s="136"/>
      <c r="F51" s="137">
        <v>59</v>
      </c>
      <c r="G51" s="137">
        <v>77</v>
      </c>
      <c r="H51" s="137">
        <v>28</v>
      </c>
      <c r="I51" s="137">
        <v>122</v>
      </c>
      <c r="J51" s="137">
        <v>119</v>
      </c>
      <c r="K51" s="137">
        <v>114</v>
      </c>
      <c r="L51" s="137">
        <v>148</v>
      </c>
      <c r="M51" s="137">
        <v>123</v>
      </c>
      <c r="N51" s="180">
        <v>121</v>
      </c>
      <c r="O51" s="175">
        <f>SUM(B51:N51)</f>
        <v>911</v>
      </c>
      <c r="Q51" s="159"/>
    </row>
    <row r="52" spans="1:17" ht="15" hidden="1" customHeight="1" x14ac:dyDescent="0.25">
      <c r="A52" s="142" t="s">
        <v>123</v>
      </c>
      <c r="B52" s="136"/>
      <c r="C52" s="136"/>
      <c r="D52" s="136"/>
      <c r="E52" s="136"/>
      <c r="F52" s="137">
        <v>41</v>
      </c>
      <c r="G52" s="137">
        <v>36</v>
      </c>
      <c r="H52" s="137">
        <v>32</v>
      </c>
      <c r="I52" s="137">
        <v>31</v>
      </c>
      <c r="J52" s="137">
        <v>29</v>
      </c>
      <c r="K52" s="137">
        <v>28</v>
      </c>
      <c r="L52" s="137">
        <v>28</v>
      </c>
      <c r="M52" s="137">
        <v>34</v>
      </c>
      <c r="N52" s="180">
        <v>55</v>
      </c>
      <c r="O52" s="175">
        <f>SUM(B52:N52)</f>
        <v>314</v>
      </c>
      <c r="Q52" s="159"/>
    </row>
    <row r="53" spans="1:17" ht="15" hidden="1" customHeight="1" thickBot="1" x14ac:dyDescent="0.3">
      <c r="A53" s="142" t="s">
        <v>165</v>
      </c>
      <c r="B53" s="136"/>
      <c r="C53" s="136"/>
      <c r="D53" s="136"/>
      <c r="E53" s="136"/>
      <c r="F53" s="136"/>
      <c r="G53" s="136"/>
      <c r="H53" s="136"/>
      <c r="I53" s="136"/>
      <c r="J53" s="137">
        <v>17</v>
      </c>
      <c r="K53" s="137">
        <v>30</v>
      </c>
      <c r="L53" s="137">
        <v>41</v>
      </c>
      <c r="M53" s="137">
        <v>47</v>
      </c>
      <c r="N53" s="180">
        <v>91</v>
      </c>
      <c r="O53" s="175">
        <f>SUM(B53:N53)</f>
        <v>226</v>
      </c>
      <c r="Q53" s="159"/>
    </row>
    <row r="54" spans="1:17" ht="15" hidden="1" customHeight="1" x14ac:dyDescent="0.25">
      <c r="A54" s="139"/>
      <c r="B54" s="139">
        <f t="shared" ref="B54:L54" si="11">SUM(B44:B53)</f>
        <v>325</v>
      </c>
      <c r="C54" s="139">
        <f t="shared" si="11"/>
        <v>292</v>
      </c>
      <c r="D54" s="139">
        <f t="shared" si="11"/>
        <v>269</v>
      </c>
      <c r="E54" s="139">
        <f t="shared" si="11"/>
        <v>306</v>
      </c>
      <c r="F54" s="139">
        <f t="shared" si="11"/>
        <v>511</v>
      </c>
      <c r="G54" s="139">
        <f t="shared" si="11"/>
        <v>702</v>
      </c>
      <c r="H54" s="139">
        <f t="shared" si="11"/>
        <v>610</v>
      </c>
      <c r="I54" s="139">
        <f t="shared" si="11"/>
        <v>815</v>
      </c>
      <c r="J54" s="139">
        <f t="shared" si="11"/>
        <v>896</v>
      </c>
      <c r="K54" s="139">
        <f t="shared" si="11"/>
        <v>857</v>
      </c>
      <c r="L54" s="139">
        <f t="shared" si="11"/>
        <v>877</v>
      </c>
      <c r="M54" s="139">
        <f>SUM(M44:M53)</f>
        <v>724</v>
      </c>
      <c r="N54" s="181">
        <f>SUM(N44:N53)</f>
        <v>528</v>
      </c>
      <c r="O54" s="176">
        <f>SUM(O44:O53)</f>
        <v>7712</v>
      </c>
      <c r="Q54" s="159"/>
    </row>
    <row r="55" spans="1:17" ht="15" hidden="1" customHeight="1" x14ac:dyDescent="0.25">
      <c r="Q55" s="159"/>
    </row>
    <row r="56" spans="1:17" ht="15" hidden="1" customHeight="1" x14ac:dyDescent="0.25">
      <c r="A56" s="12" t="s">
        <v>112</v>
      </c>
      <c r="B56" s="169" t="s">
        <v>70</v>
      </c>
      <c r="C56" s="169" t="s">
        <v>81</v>
      </c>
      <c r="D56" s="169" t="s">
        <v>82</v>
      </c>
      <c r="E56" s="169" t="s">
        <v>104</v>
      </c>
      <c r="F56" s="33" t="s">
        <v>117</v>
      </c>
      <c r="G56" s="33" t="s">
        <v>124</v>
      </c>
      <c r="H56" s="33" t="s">
        <v>156</v>
      </c>
      <c r="I56" s="33" t="s">
        <v>161</v>
      </c>
      <c r="J56" s="33" t="s">
        <v>162</v>
      </c>
      <c r="K56" s="33" t="s">
        <v>166</v>
      </c>
      <c r="L56" s="33" t="s">
        <v>176</v>
      </c>
      <c r="M56" s="33" t="s">
        <v>182</v>
      </c>
      <c r="N56" s="55" t="s">
        <v>186</v>
      </c>
      <c r="O56" s="170" t="s">
        <v>77</v>
      </c>
      <c r="Q56" s="159"/>
    </row>
    <row r="57" spans="1:17" ht="15" hidden="1" customHeight="1" x14ac:dyDescent="0.25">
      <c r="A57" s="12" t="s">
        <v>108</v>
      </c>
      <c r="B57" s="9">
        <v>7442</v>
      </c>
      <c r="C57" s="9">
        <v>6187</v>
      </c>
      <c r="D57" s="9">
        <v>6389</v>
      </c>
      <c r="E57" s="9">
        <v>7384</v>
      </c>
      <c r="F57" s="9">
        <v>6228</v>
      </c>
      <c r="G57" s="9">
        <v>6963</v>
      </c>
      <c r="H57" s="9">
        <v>4866</v>
      </c>
      <c r="I57" s="9">
        <v>7584</v>
      </c>
      <c r="J57" s="9">
        <v>7789</v>
      </c>
      <c r="K57" s="9">
        <v>7058</v>
      </c>
      <c r="L57" s="9">
        <v>6965</v>
      </c>
      <c r="M57" s="9">
        <v>7065</v>
      </c>
      <c r="N57" s="182">
        <v>3458</v>
      </c>
      <c r="O57" s="175">
        <f>SUM(B57:N57)</f>
        <v>85378</v>
      </c>
      <c r="Q57" s="159"/>
    </row>
    <row r="58" spans="1:17" ht="15" hidden="1" customHeight="1" x14ac:dyDescent="0.25">
      <c r="A58" s="12" t="s">
        <v>109</v>
      </c>
      <c r="B58" s="9">
        <v>3820</v>
      </c>
      <c r="C58" s="9">
        <v>3546</v>
      </c>
      <c r="D58" s="9">
        <v>2998</v>
      </c>
      <c r="E58" s="9">
        <v>3728</v>
      </c>
      <c r="F58" s="9">
        <v>4275</v>
      </c>
      <c r="G58" s="9">
        <v>4268</v>
      </c>
      <c r="H58" s="9">
        <v>5635</v>
      </c>
      <c r="I58" s="9">
        <v>4883</v>
      </c>
      <c r="J58" s="9">
        <v>3085</v>
      </c>
      <c r="K58" s="9">
        <v>4677</v>
      </c>
      <c r="L58" s="9">
        <v>4378</v>
      </c>
      <c r="M58" s="9">
        <v>4987</v>
      </c>
      <c r="N58" s="182">
        <v>4357</v>
      </c>
      <c r="O58" s="175">
        <f>SUM(B58:N58)</f>
        <v>54637</v>
      </c>
      <c r="Q58" s="159"/>
    </row>
    <row r="59" spans="1:17" ht="15" hidden="1" customHeight="1" x14ac:dyDescent="0.25">
      <c r="A59" s="12" t="s">
        <v>110</v>
      </c>
      <c r="B59" s="9">
        <v>1666</v>
      </c>
      <c r="C59" s="9">
        <v>1907</v>
      </c>
      <c r="D59" s="9">
        <v>2228</v>
      </c>
      <c r="E59" s="9">
        <v>2039</v>
      </c>
      <c r="F59" s="9">
        <v>2145</v>
      </c>
      <c r="G59" s="9">
        <v>2346</v>
      </c>
      <c r="H59" s="9">
        <v>1687</v>
      </c>
      <c r="I59" s="9">
        <v>1896</v>
      </c>
      <c r="J59" s="9">
        <v>2826</v>
      </c>
      <c r="K59" s="9">
        <v>2097</v>
      </c>
      <c r="L59" s="9">
        <v>1960</v>
      </c>
      <c r="M59" s="9">
        <v>2376</v>
      </c>
      <c r="N59" s="182">
        <v>2283</v>
      </c>
      <c r="O59" s="175">
        <f>SUM(B59:N59)</f>
        <v>27456</v>
      </c>
      <c r="Q59" s="159"/>
    </row>
    <row r="60" spans="1:17" ht="15" hidden="1" customHeight="1" x14ac:dyDescent="0.25">
      <c r="A60" s="196" t="s">
        <v>167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175">
        <f t="shared" ref="O60:O61" si="12">SUM(B60:M60)</f>
        <v>0</v>
      </c>
      <c r="Q60" s="159"/>
    </row>
    <row r="61" spans="1:17" ht="15" hidden="1" customHeight="1" x14ac:dyDescent="0.25">
      <c r="A61" s="196" t="s">
        <v>168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175">
        <f t="shared" si="12"/>
        <v>0</v>
      </c>
      <c r="Q61" s="159"/>
    </row>
    <row r="62" spans="1:17" ht="15" hidden="1" customHeight="1" x14ac:dyDescent="0.25">
      <c r="A62" s="142" t="s">
        <v>160</v>
      </c>
      <c r="B62" s="171"/>
      <c r="C62" s="14">
        <v>163</v>
      </c>
      <c r="D62" s="14">
        <v>264</v>
      </c>
      <c r="E62" s="14">
        <v>793</v>
      </c>
      <c r="F62" s="14">
        <v>163</v>
      </c>
      <c r="G62" s="14">
        <v>0</v>
      </c>
      <c r="H62" s="14">
        <v>1622</v>
      </c>
      <c r="I62" s="14">
        <v>6588</v>
      </c>
      <c r="J62" s="14">
        <v>6423</v>
      </c>
      <c r="K62" s="14">
        <v>5070</v>
      </c>
      <c r="L62" s="14">
        <v>4282</v>
      </c>
      <c r="M62" s="14">
        <v>3369</v>
      </c>
      <c r="N62" s="71"/>
      <c r="O62" s="175">
        <f>SUM(B62:N62)</f>
        <v>28737</v>
      </c>
      <c r="Q62" s="159"/>
    </row>
    <row r="63" spans="1:17" ht="15" hidden="1" customHeight="1" x14ac:dyDescent="0.25">
      <c r="A63" s="142" t="s">
        <v>121</v>
      </c>
      <c r="B63" s="171"/>
      <c r="C63" s="171"/>
      <c r="D63" s="171"/>
      <c r="E63" s="171"/>
      <c r="F63" s="14">
        <v>3510</v>
      </c>
      <c r="G63" s="14">
        <v>5583</v>
      </c>
      <c r="H63" s="14">
        <v>5519</v>
      </c>
      <c r="I63" s="14">
        <v>4866</v>
      </c>
      <c r="J63" s="14">
        <v>6106</v>
      </c>
      <c r="K63" s="14">
        <v>5834</v>
      </c>
      <c r="L63" s="14">
        <v>5884</v>
      </c>
      <c r="M63" s="14">
        <v>773</v>
      </c>
      <c r="N63" s="71"/>
      <c r="O63" s="175">
        <f>SUM(B63:N63)</f>
        <v>38075</v>
      </c>
      <c r="Q63" s="159"/>
    </row>
    <row r="64" spans="1:17" ht="15" hidden="1" customHeight="1" x14ac:dyDescent="0.25">
      <c r="A64" s="142" t="s">
        <v>122</v>
      </c>
      <c r="B64" s="171"/>
      <c r="C64" s="171"/>
      <c r="D64" s="171"/>
      <c r="E64" s="171"/>
      <c r="F64" s="14">
        <v>2546</v>
      </c>
      <c r="G64" s="14">
        <v>3680</v>
      </c>
      <c r="H64" s="14">
        <v>1012</v>
      </c>
      <c r="I64" s="14">
        <v>4720</v>
      </c>
      <c r="J64" s="14">
        <v>4251</v>
      </c>
      <c r="K64" s="14">
        <v>4101</v>
      </c>
      <c r="L64" s="14">
        <v>4700</v>
      </c>
      <c r="M64" s="14">
        <v>3633</v>
      </c>
      <c r="N64" s="183">
        <v>4786</v>
      </c>
      <c r="O64" s="175">
        <f>SUM(B64:N64)</f>
        <v>33429</v>
      </c>
      <c r="Q64" s="159"/>
    </row>
    <row r="65" spans="1:17" ht="15" hidden="1" customHeight="1" x14ac:dyDescent="0.25">
      <c r="A65" s="142" t="s">
        <v>123</v>
      </c>
      <c r="B65" s="171"/>
      <c r="C65" s="171"/>
      <c r="D65" s="171"/>
      <c r="E65" s="171"/>
      <c r="F65" s="14">
        <v>5500</v>
      </c>
      <c r="G65" s="14">
        <v>8117</v>
      </c>
      <c r="H65" s="14">
        <v>8080</v>
      </c>
      <c r="I65" s="14">
        <v>6335</v>
      </c>
      <c r="J65" s="14">
        <v>5998</v>
      </c>
      <c r="K65" s="14">
        <v>5539</v>
      </c>
      <c r="L65" s="14">
        <v>5161</v>
      </c>
      <c r="M65" s="14">
        <v>5250</v>
      </c>
      <c r="N65" s="183">
        <v>6686</v>
      </c>
      <c r="O65" s="175">
        <f>SUM(B65:N65)</f>
        <v>56666</v>
      </c>
      <c r="Q65" s="159"/>
    </row>
    <row r="66" spans="1:17" ht="15" hidden="1" customHeight="1" thickBot="1" x14ac:dyDescent="0.3">
      <c r="A66" s="142" t="s">
        <v>165</v>
      </c>
      <c r="B66" s="171"/>
      <c r="C66" s="171"/>
      <c r="D66" s="171"/>
      <c r="E66" s="171"/>
      <c r="F66" s="171"/>
      <c r="G66" s="171"/>
      <c r="H66" s="171"/>
      <c r="I66" s="171"/>
      <c r="J66" s="14">
        <v>745</v>
      </c>
      <c r="K66" s="14">
        <v>1896</v>
      </c>
      <c r="L66" s="14">
        <v>1728</v>
      </c>
      <c r="M66" s="14">
        <v>1642</v>
      </c>
      <c r="N66" s="183">
        <v>3161</v>
      </c>
      <c r="O66" s="175">
        <f>SUM(B66:N66)</f>
        <v>9172</v>
      </c>
      <c r="Q66" s="159"/>
    </row>
    <row r="67" spans="1:17" ht="15" hidden="1" customHeight="1" x14ac:dyDescent="0.25">
      <c r="A67" s="139"/>
      <c r="B67" s="16">
        <f t="shared" ref="B67:M67" si="13">SUM(B57:B66)</f>
        <v>12928</v>
      </c>
      <c r="C67" s="16">
        <f t="shared" si="13"/>
        <v>11803</v>
      </c>
      <c r="D67" s="16">
        <f t="shared" si="13"/>
        <v>11879</v>
      </c>
      <c r="E67" s="16">
        <f t="shared" si="13"/>
        <v>13944</v>
      </c>
      <c r="F67" s="16">
        <f t="shared" si="13"/>
        <v>24367</v>
      </c>
      <c r="G67" s="16">
        <f t="shared" si="13"/>
        <v>30957</v>
      </c>
      <c r="H67" s="16">
        <f t="shared" si="13"/>
        <v>28421</v>
      </c>
      <c r="I67" s="16">
        <f t="shared" si="13"/>
        <v>36872</v>
      </c>
      <c r="J67" s="16">
        <f t="shared" si="13"/>
        <v>37223</v>
      </c>
      <c r="K67" s="16">
        <f t="shared" si="13"/>
        <v>36272</v>
      </c>
      <c r="L67" s="16">
        <f t="shared" si="13"/>
        <v>35058</v>
      </c>
      <c r="M67" s="16">
        <f t="shared" si="13"/>
        <v>29095</v>
      </c>
      <c r="N67" s="187">
        <f t="shared" ref="N67" si="14">SUM(N57:N66)</f>
        <v>24731</v>
      </c>
      <c r="O67" s="176">
        <f t="shared" ref="O67" si="15">SUM(O57:O66)</f>
        <v>333550</v>
      </c>
      <c r="Q67" s="159"/>
    </row>
    <row r="68" spans="1:17" ht="15" hidden="1" customHeight="1" x14ac:dyDescent="0.25">
      <c r="Q68" s="159"/>
    </row>
    <row r="69" spans="1:17" ht="15" hidden="1" customHeight="1" x14ac:dyDescent="0.25">
      <c r="A69" s="12" t="s">
        <v>113</v>
      </c>
      <c r="B69" s="169" t="s">
        <v>70</v>
      </c>
      <c r="C69" s="169" t="s">
        <v>81</v>
      </c>
      <c r="D69" s="169" t="s">
        <v>82</v>
      </c>
      <c r="E69" s="169" t="s">
        <v>104</v>
      </c>
      <c r="F69" s="33" t="s">
        <v>117</v>
      </c>
      <c r="G69" s="33" t="s">
        <v>124</v>
      </c>
      <c r="H69" s="33" t="s">
        <v>156</v>
      </c>
      <c r="I69" s="33" t="s">
        <v>161</v>
      </c>
      <c r="J69" s="33" t="s">
        <v>162</v>
      </c>
      <c r="K69" s="33" t="s">
        <v>166</v>
      </c>
      <c r="L69" s="33" t="s">
        <v>176</v>
      </c>
      <c r="M69" s="33" t="s">
        <v>182</v>
      </c>
      <c r="N69" s="55" t="s">
        <v>186</v>
      </c>
      <c r="O69" s="170" t="s">
        <v>77</v>
      </c>
      <c r="Q69" s="159"/>
    </row>
    <row r="70" spans="1:17" ht="15" hidden="1" customHeight="1" x14ac:dyDescent="0.25">
      <c r="A70" s="12" t="s">
        <v>108</v>
      </c>
      <c r="B70" s="22">
        <v>193.65</v>
      </c>
      <c r="C70" s="22">
        <v>166</v>
      </c>
      <c r="D70" s="22">
        <v>166.5</v>
      </c>
      <c r="E70" s="22">
        <v>199.75</v>
      </c>
      <c r="F70" s="22">
        <v>211.21</v>
      </c>
      <c r="G70" s="22">
        <v>227.5</v>
      </c>
      <c r="H70" s="22">
        <v>155.44999999999999</v>
      </c>
      <c r="I70" s="22">
        <v>209.65</v>
      </c>
      <c r="J70" s="22">
        <v>227.4</v>
      </c>
      <c r="K70" s="22">
        <v>196</v>
      </c>
      <c r="L70" s="22">
        <v>218.6</v>
      </c>
      <c r="M70" s="22">
        <v>207.1</v>
      </c>
      <c r="N70" s="184">
        <v>105.7</v>
      </c>
      <c r="O70" s="172">
        <f>SUM(B70:N70)</f>
        <v>2484.5100000000002</v>
      </c>
      <c r="Q70" s="159"/>
    </row>
    <row r="71" spans="1:17" ht="15" hidden="1" customHeight="1" x14ac:dyDescent="0.25">
      <c r="A71" s="12" t="s">
        <v>109</v>
      </c>
      <c r="B71" s="22">
        <v>169.51</v>
      </c>
      <c r="C71" s="22">
        <v>144.94999999999999</v>
      </c>
      <c r="D71" s="22">
        <v>115.5</v>
      </c>
      <c r="E71" s="22">
        <v>151.5</v>
      </c>
      <c r="F71" s="22">
        <v>161.06</v>
      </c>
      <c r="G71" s="22">
        <v>153</v>
      </c>
      <c r="H71" s="22">
        <v>192.75</v>
      </c>
      <c r="I71" s="22">
        <v>169</v>
      </c>
      <c r="J71" s="22">
        <v>110.4</v>
      </c>
      <c r="K71" s="22">
        <v>175.84</v>
      </c>
      <c r="L71" s="22">
        <v>163.4</v>
      </c>
      <c r="M71" s="22">
        <v>175.2</v>
      </c>
      <c r="N71" s="184">
        <v>155.5</v>
      </c>
      <c r="O71" s="172">
        <f>SUM(B71:N71)</f>
        <v>2037.6100000000001</v>
      </c>
      <c r="Q71" s="159"/>
    </row>
    <row r="72" spans="1:17" ht="15" hidden="1" customHeight="1" x14ac:dyDescent="0.25">
      <c r="A72" s="12" t="s">
        <v>110</v>
      </c>
      <c r="B72" s="22">
        <v>63</v>
      </c>
      <c r="C72" s="22">
        <v>95.5</v>
      </c>
      <c r="D72" s="22">
        <v>115</v>
      </c>
      <c r="E72" s="22">
        <v>92</v>
      </c>
      <c r="F72" s="22">
        <v>112.41</v>
      </c>
      <c r="G72" s="22">
        <v>94.8</v>
      </c>
      <c r="H72" s="22">
        <v>71.2</v>
      </c>
      <c r="I72" s="22">
        <v>69</v>
      </c>
      <c r="J72" s="22">
        <v>107</v>
      </c>
      <c r="K72" s="22">
        <v>82</v>
      </c>
      <c r="L72" s="22">
        <v>89.5</v>
      </c>
      <c r="M72" s="22">
        <v>99</v>
      </c>
      <c r="N72" s="184">
        <v>93</v>
      </c>
      <c r="O72" s="172">
        <f>SUM(B72:N72)</f>
        <v>1183.4099999999999</v>
      </c>
      <c r="Q72" s="159"/>
    </row>
    <row r="73" spans="1:17" ht="15" hidden="1" customHeight="1" x14ac:dyDescent="0.25">
      <c r="A73" s="196" t="s">
        <v>167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2">
        <f t="shared" ref="O73:O74" si="16">SUM(B73:M73)</f>
        <v>0</v>
      </c>
      <c r="Q73" s="159"/>
    </row>
    <row r="74" spans="1:17" ht="15" hidden="1" customHeight="1" x14ac:dyDescent="0.25">
      <c r="A74" s="196" t="s">
        <v>168</v>
      </c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2">
        <f t="shared" si="16"/>
        <v>0</v>
      </c>
      <c r="Q74" s="159"/>
    </row>
    <row r="75" spans="1:17" ht="15" hidden="1" customHeight="1" x14ac:dyDescent="0.25">
      <c r="A75" s="142" t="s">
        <v>160</v>
      </c>
      <c r="B75" s="174"/>
      <c r="C75" s="23">
        <v>6.25</v>
      </c>
      <c r="D75" s="23">
        <v>6.5</v>
      </c>
      <c r="E75" s="23">
        <v>21.5</v>
      </c>
      <c r="F75" s="23">
        <v>5.85</v>
      </c>
      <c r="G75" s="23">
        <v>0</v>
      </c>
      <c r="H75" s="23">
        <v>51.85</v>
      </c>
      <c r="I75" s="23">
        <v>203.65</v>
      </c>
      <c r="J75" s="23">
        <v>201.15</v>
      </c>
      <c r="K75" s="23">
        <v>159.80000000000001</v>
      </c>
      <c r="L75" s="23">
        <v>130.24</v>
      </c>
      <c r="M75" s="23">
        <v>109.25</v>
      </c>
      <c r="N75" s="173"/>
      <c r="O75" s="172">
        <f>SUM(B75:N75)</f>
        <v>896.04</v>
      </c>
      <c r="Q75" s="159"/>
    </row>
    <row r="76" spans="1:17" ht="15" hidden="1" customHeight="1" x14ac:dyDescent="0.25">
      <c r="A76" s="142" t="s">
        <v>121</v>
      </c>
      <c r="B76" s="174"/>
      <c r="C76" s="174"/>
      <c r="D76" s="174"/>
      <c r="E76" s="174"/>
      <c r="F76" s="23">
        <v>108.85</v>
      </c>
      <c r="G76" s="23">
        <v>236.15</v>
      </c>
      <c r="H76" s="23">
        <v>158.5</v>
      </c>
      <c r="I76" s="23">
        <v>170.85</v>
      </c>
      <c r="J76" s="23">
        <v>220.35</v>
      </c>
      <c r="K76" s="23">
        <v>190.65</v>
      </c>
      <c r="L76" s="23">
        <v>197.35</v>
      </c>
      <c r="M76" s="23">
        <v>17</v>
      </c>
      <c r="N76" s="173"/>
      <c r="O76" s="172">
        <f>SUM(B76:N76)</f>
        <v>1299.7</v>
      </c>
      <c r="Q76" s="159"/>
    </row>
    <row r="77" spans="1:17" ht="15" hidden="1" customHeight="1" x14ac:dyDescent="0.25">
      <c r="A77" s="142" t="s">
        <v>122</v>
      </c>
      <c r="B77" s="174"/>
      <c r="C77" s="174"/>
      <c r="D77" s="174"/>
      <c r="E77" s="174"/>
      <c r="F77" s="23">
        <v>83.75</v>
      </c>
      <c r="G77" s="23">
        <v>112.75</v>
      </c>
      <c r="H77" s="23">
        <v>34.799999999999997</v>
      </c>
      <c r="I77" s="23">
        <v>163.30000000000001</v>
      </c>
      <c r="J77" s="23">
        <v>143.85</v>
      </c>
      <c r="K77" s="23">
        <v>148.75</v>
      </c>
      <c r="L77" s="23">
        <v>177.45</v>
      </c>
      <c r="M77" s="23">
        <v>145.35</v>
      </c>
      <c r="N77" s="185">
        <v>160.05000000000001</v>
      </c>
      <c r="O77" s="172">
        <f>SUM(B77:N77)</f>
        <v>1170.0500000000002</v>
      </c>
      <c r="Q77" s="159"/>
    </row>
    <row r="78" spans="1:17" ht="15" hidden="1" customHeight="1" x14ac:dyDescent="0.25">
      <c r="A78" s="142" t="s">
        <v>123</v>
      </c>
      <c r="B78" s="174"/>
      <c r="C78" s="174"/>
      <c r="D78" s="174"/>
      <c r="E78" s="174"/>
      <c r="F78" s="23">
        <v>152</v>
      </c>
      <c r="G78" s="23">
        <v>207.7</v>
      </c>
      <c r="H78" s="23">
        <v>202.5</v>
      </c>
      <c r="I78" s="23">
        <v>172.5</v>
      </c>
      <c r="J78" s="23">
        <v>168.65</v>
      </c>
      <c r="K78" s="23">
        <v>158.4</v>
      </c>
      <c r="L78" s="23">
        <v>151.75</v>
      </c>
      <c r="M78" s="23">
        <v>136.80000000000001</v>
      </c>
      <c r="N78" s="185">
        <v>193.75</v>
      </c>
      <c r="O78" s="172">
        <f>SUM(B78:N78)</f>
        <v>1544.05</v>
      </c>
      <c r="Q78" s="159"/>
    </row>
    <row r="79" spans="1:17" ht="15" hidden="1" customHeight="1" thickBot="1" x14ac:dyDescent="0.3">
      <c r="A79" s="142" t="s">
        <v>165</v>
      </c>
      <c r="B79" s="174"/>
      <c r="C79" s="174"/>
      <c r="D79" s="174"/>
      <c r="E79" s="174"/>
      <c r="F79" s="174"/>
      <c r="G79" s="174"/>
      <c r="H79" s="174"/>
      <c r="I79" s="174"/>
      <c r="J79" s="23">
        <v>24.45</v>
      </c>
      <c r="K79" s="23">
        <v>54.43</v>
      </c>
      <c r="L79" s="23">
        <v>60.25</v>
      </c>
      <c r="M79" s="23">
        <v>58.2</v>
      </c>
      <c r="N79" s="185">
        <v>106.15</v>
      </c>
      <c r="O79" s="172">
        <f>SUM(B79:N79)</f>
        <v>303.48</v>
      </c>
      <c r="Q79" s="159"/>
    </row>
    <row r="80" spans="1:17" ht="15" hidden="1" customHeight="1" x14ac:dyDescent="0.25">
      <c r="A80" s="139"/>
      <c r="B80" s="24">
        <f t="shared" ref="B80:M80" si="17">SUM(B70:B79)</f>
        <v>426.15999999999997</v>
      </c>
      <c r="C80" s="24">
        <f t="shared" si="17"/>
        <v>412.7</v>
      </c>
      <c r="D80" s="24">
        <f t="shared" si="17"/>
        <v>403.5</v>
      </c>
      <c r="E80" s="24">
        <f t="shared" si="17"/>
        <v>464.75</v>
      </c>
      <c r="F80" s="24">
        <f t="shared" si="17"/>
        <v>835.13</v>
      </c>
      <c r="G80" s="24">
        <f t="shared" si="17"/>
        <v>1031.9000000000001</v>
      </c>
      <c r="H80" s="24">
        <f t="shared" si="17"/>
        <v>867.05</v>
      </c>
      <c r="I80" s="24">
        <f t="shared" si="17"/>
        <v>1157.95</v>
      </c>
      <c r="J80" s="24">
        <f t="shared" si="17"/>
        <v>1203.2500000000002</v>
      </c>
      <c r="K80" s="24">
        <f t="shared" si="17"/>
        <v>1165.8700000000001</v>
      </c>
      <c r="L80" s="24">
        <f t="shared" si="17"/>
        <v>1188.54</v>
      </c>
      <c r="M80" s="24">
        <f t="shared" si="17"/>
        <v>947.90000000000009</v>
      </c>
      <c r="N80" s="186">
        <f t="shared" ref="N80" si="18">SUM(N70:N79)</f>
        <v>814.15</v>
      </c>
      <c r="O80" s="177">
        <f t="shared" ref="O80" si="19">SUM(O70:O79)</f>
        <v>10918.849999999999</v>
      </c>
      <c r="Q80" s="159"/>
    </row>
  </sheetData>
  <sheetProtection algorithmName="SHA-512" hashValue="iLLTjXGluxcS8e9wCNlt19WcixPUt1ukHWEENBCD2O2D/xEfb69BdJuLC3ZeXnffws+u//C53fyJlrbHbq31oA==" saltValue="yEm5Csi01HbLpCToJWgP8A==" spinCount="100000" sheet="1" objects="1" scenarios="1"/>
  <mergeCells count="6">
    <mergeCell ref="L25:N25"/>
    <mergeCell ref="I25:K25"/>
    <mergeCell ref="F25:H25"/>
    <mergeCell ref="C25:E25"/>
    <mergeCell ref="A1:O1"/>
    <mergeCell ref="A2:P2"/>
  </mergeCells>
  <pageMargins left="0.25" right="0.25" top="0.75" bottom="0.75" header="0.3" footer="0.3"/>
  <pageSetup scale="7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E69B9-F60D-4E8B-B9BE-064520C40EAD}">
  <dimension ref="A2:J31"/>
  <sheetViews>
    <sheetView topLeftCell="A19" workbookViewId="0"/>
  </sheetViews>
  <sheetFormatPr defaultRowHeight="15" x14ac:dyDescent="0.25"/>
  <sheetData>
    <row r="2" spans="1:9" x14ac:dyDescent="0.25">
      <c r="A2" t="s">
        <v>125</v>
      </c>
      <c r="B2" t="s">
        <v>126</v>
      </c>
      <c r="I2" s="212" t="s">
        <v>177</v>
      </c>
    </row>
    <row r="3" spans="1:9" x14ac:dyDescent="0.25">
      <c r="B3" t="s">
        <v>130</v>
      </c>
      <c r="I3" s="212" t="s">
        <v>177</v>
      </c>
    </row>
    <row r="4" spans="1:9" x14ac:dyDescent="0.25">
      <c r="B4" t="s">
        <v>131</v>
      </c>
      <c r="I4" s="212" t="s">
        <v>177</v>
      </c>
    </row>
    <row r="6" spans="1:9" x14ac:dyDescent="0.25">
      <c r="A6" t="s">
        <v>127</v>
      </c>
      <c r="B6" t="s">
        <v>132</v>
      </c>
      <c r="E6" s="212" t="s">
        <v>177</v>
      </c>
    </row>
    <row r="8" spans="1:9" x14ac:dyDescent="0.25">
      <c r="A8" t="s">
        <v>129</v>
      </c>
      <c r="B8" t="s">
        <v>128</v>
      </c>
      <c r="E8" s="212" t="s">
        <v>177</v>
      </c>
    </row>
    <row r="10" spans="1:9" x14ac:dyDescent="0.25">
      <c r="A10" t="s">
        <v>133</v>
      </c>
      <c r="B10" t="s">
        <v>178</v>
      </c>
      <c r="H10" s="212" t="s">
        <v>136</v>
      </c>
    </row>
    <row r="12" spans="1:9" x14ac:dyDescent="0.25">
      <c r="A12" t="s">
        <v>134</v>
      </c>
      <c r="B12" t="s">
        <v>135</v>
      </c>
      <c r="D12" s="212" t="s">
        <v>177</v>
      </c>
    </row>
    <row r="14" spans="1:9" x14ac:dyDescent="0.25">
      <c r="A14" t="s">
        <v>137</v>
      </c>
      <c r="B14" t="s">
        <v>138</v>
      </c>
      <c r="D14" s="212" t="s">
        <v>177</v>
      </c>
    </row>
    <row r="16" spans="1:9" x14ac:dyDescent="0.25">
      <c r="A16" t="s">
        <v>139</v>
      </c>
      <c r="B16" t="s">
        <v>179</v>
      </c>
      <c r="H16" s="194"/>
    </row>
    <row r="17" spans="1:10" x14ac:dyDescent="0.25">
      <c r="B17" t="s">
        <v>140</v>
      </c>
      <c r="E17" s="212" t="s">
        <v>177</v>
      </c>
    </row>
    <row r="19" spans="1:10" x14ac:dyDescent="0.25">
      <c r="A19" t="s">
        <v>141</v>
      </c>
      <c r="B19" t="s">
        <v>142</v>
      </c>
      <c r="D19" s="212" t="s">
        <v>177</v>
      </c>
    </row>
    <row r="21" spans="1:10" x14ac:dyDescent="0.25">
      <c r="A21" t="s">
        <v>143</v>
      </c>
      <c r="B21" t="s">
        <v>144</v>
      </c>
      <c r="D21" s="212" t="s">
        <v>177</v>
      </c>
    </row>
    <row r="23" spans="1:10" x14ac:dyDescent="0.25">
      <c r="A23" t="s">
        <v>145</v>
      </c>
      <c r="B23" t="s">
        <v>146</v>
      </c>
      <c r="D23" s="212" t="s">
        <v>153</v>
      </c>
    </row>
    <row r="25" spans="1:10" x14ac:dyDescent="0.25">
      <c r="A25" t="s">
        <v>147</v>
      </c>
      <c r="B25" t="s">
        <v>148</v>
      </c>
      <c r="D25" s="212" t="s">
        <v>177</v>
      </c>
    </row>
    <row r="27" spans="1:10" x14ac:dyDescent="0.25">
      <c r="A27" t="s">
        <v>149</v>
      </c>
      <c r="B27" t="s">
        <v>150</v>
      </c>
      <c r="D27" s="212" t="s">
        <v>177</v>
      </c>
    </row>
    <row r="29" spans="1:10" x14ac:dyDescent="0.25">
      <c r="A29" t="s">
        <v>151</v>
      </c>
      <c r="B29" t="s">
        <v>152</v>
      </c>
      <c r="D29" s="212" t="s">
        <v>177</v>
      </c>
    </row>
    <row r="31" spans="1:10" x14ac:dyDescent="0.25">
      <c r="A31" t="s">
        <v>154</v>
      </c>
      <c r="B31" t="s">
        <v>155</v>
      </c>
      <c r="J31" s="212" t="s">
        <v>177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71BC5-9164-4F11-B447-157E432372EB}">
  <sheetPr>
    <tabColor theme="5" tint="-0.249977111117893"/>
    <pageSetUpPr fitToPage="1"/>
  </sheetPr>
  <dimension ref="A1:P43"/>
  <sheetViews>
    <sheetView workbookViewId="0">
      <selection sqref="A1:O1"/>
    </sheetView>
  </sheetViews>
  <sheetFormatPr defaultRowHeight="15" x14ac:dyDescent="0.25"/>
  <cols>
    <col min="1" max="1" width="20.7109375" customWidth="1"/>
    <col min="2" max="3" width="10.7109375" customWidth="1"/>
    <col min="4" max="4" width="12.7109375" customWidth="1"/>
    <col min="5" max="14" width="10.7109375" customWidth="1"/>
    <col min="15" max="15" width="15.7109375" customWidth="1"/>
  </cols>
  <sheetData>
    <row r="1" spans="1:16" ht="21" customHeight="1" x14ac:dyDescent="0.35">
      <c r="A1" s="215" t="s">
        <v>184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7"/>
    </row>
    <row r="2" spans="1:16" ht="21" customHeight="1" x14ac:dyDescent="0.35">
      <c r="A2" s="215" t="s">
        <v>4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7"/>
    </row>
    <row r="3" spans="1:16" ht="21" x14ac:dyDescent="0.35">
      <c r="H3" s="4"/>
    </row>
    <row r="19" spans="1:16" x14ac:dyDescent="0.25">
      <c r="B19" s="220" t="s">
        <v>12</v>
      </c>
      <c r="C19" s="221"/>
      <c r="D19" s="222"/>
      <c r="E19" s="38"/>
    </row>
    <row r="20" spans="1:16" s="5" customFormat="1" ht="15.75" x14ac:dyDescent="0.25">
      <c r="B20" s="30" t="s">
        <v>70</v>
      </c>
      <c r="C20" s="8" t="s">
        <v>186</v>
      </c>
      <c r="D20" s="25" t="s">
        <v>25</v>
      </c>
      <c r="E20" s="39"/>
      <c r="F20" s="49"/>
      <c r="G20" s="49"/>
      <c r="H20" s="49"/>
      <c r="I20" s="49"/>
      <c r="J20" s="49"/>
      <c r="K20" s="49"/>
      <c r="L20" s="49"/>
      <c r="M20" s="49"/>
      <c r="N20" s="49"/>
      <c r="O20" s="49"/>
    </row>
    <row r="21" spans="1:16" ht="30" customHeight="1" x14ac:dyDescent="0.25">
      <c r="A21" s="43" t="s">
        <v>0</v>
      </c>
      <c r="B21" s="35">
        <f>SUM(Ridership!B26)</f>
        <v>5517</v>
      </c>
      <c r="C21" s="9">
        <f>SUM(Ridership!N26)</f>
        <v>5986</v>
      </c>
      <c r="D21" s="26">
        <f>SUM(C21-B21)</f>
        <v>469</v>
      </c>
      <c r="E21" s="40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3"/>
    </row>
    <row r="22" spans="1:16" ht="30" customHeight="1" thickBot="1" x14ac:dyDescent="0.3">
      <c r="A22" s="178" t="s">
        <v>163</v>
      </c>
      <c r="B22" s="35">
        <f>SUM(Ridership!B27)</f>
        <v>761</v>
      </c>
      <c r="C22" s="9">
        <f>SUM(Ridership!N27)</f>
        <v>521</v>
      </c>
      <c r="D22" s="26">
        <f>SUM(C22-B22)</f>
        <v>-240</v>
      </c>
      <c r="E22" s="40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3"/>
    </row>
    <row r="23" spans="1:16" ht="30" customHeight="1" thickTop="1" x14ac:dyDescent="0.25">
      <c r="A23" s="44" t="s">
        <v>164</v>
      </c>
      <c r="B23" s="35">
        <f>SUM(Ridership!B28)</f>
        <v>512</v>
      </c>
      <c r="C23" s="9">
        <f>SUM(Ridership!N28)</f>
        <v>509</v>
      </c>
      <c r="D23" s="26">
        <f>SUM(C23-B23)</f>
        <v>-3</v>
      </c>
      <c r="E23" s="223" t="s">
        <v>33</v>
      </c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3"/>
    </row>
    <row r="24" spans="1:16" ht="30" customHeight="1" thickBot="1" x14ac:dyDescent="0.3">
      <c r="A24" s="45" t="s">
        <v>1</v>
      </c>
      <c r="B24" s="35">
        <f>SUM(Ridership!B29)</f>
        <v>1250</v>
      </c>
      <c r="C24" s="9">
        <f>SUM(Ridership!N29)</f>
        <v>1250</v>
      </c>
      <c r="D24" s="26">
        <f>SUM(C24-B24)</f>
        <v>0</v>
      </c>
      <c r="E24" s="224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3"/>
    </row>
    <row r="25" spans="1:16" ht="30" customHeight="1" thickBot="1" x14ac:dyDescent="0.3">
      <c r="A25" s="46" t="s">
        <v>2</v>
      </c>
      <c r="B25" s="36">
        <f>SUM(B21:B24)</f>
        <v>8040</v>
      </c>
      <c r="C25" s="16">
        <f t="shared" ref="C25" si="0">SUM(C21:C24)</f>
        <v>8266</v>
      </c>
      <c r="D25" s="27">
        <f>SUM(C25-B25)</f>
        <v>226</v>
      </c>
      <c r="E25" s="89">
        <f>SUM(D25/B25)</f>
        <v>2.8109452736318409E-2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3"/>
    </row>
    <row r="26" spans="1:16" ht="9.9499999999999993" customHeight="1" thickTop="1" x14ac:dyDescent="0.25">
      <c r="A26" s="17"/>
      <c r="B26" s="31"/>
      <c r="C26" s="18"/>
      <c r="D26" s="28"/>
      <c r="E26" s="40"/>
      <c r="F26" s="2"/>
      <c r="G26" s="88"/>
      <c r="H26" s="88"/>
      <c r="I26" s="88"/>
      <c r="J26" s="88"/>
      <c r="K26" s="88"/>
      <c r="L26" s="88"/>
      <c r="M26" s="88"/>
      <c r="N26" s="88"/>
      <c r="O26" s="2"/>
      <c r="P26" s="3"/>
    </row>
    <row r="27" spans="1:16" ht="30" customHeight="1" x14ac:dyDescent="0.25">
      <c r="A27" s="47" t="s">
        <v>15</v>
      </c>
      <c r="B27" s="32">
        <f>SUM(B25/C28)</f>
        <v>0.1632222177108287</v>
      </c>
      <c r="C27" s="21">
        <f>SUM(C25/C29)</f>
        <v>0.14879484456284989</v>
      </c>
      <c r="D27" s="29">
        <f>SUM(C27-B27)</f>
        <v>-1.4427373147978817E-2</v>
      </c>
      <c r="E27" s="41"/>
      <c r="F27" s="6"/>
      <c r="G27" s="88"/>
      <c r="H27" s="88"/>
      <c r="I27" s="88"/>
      <c r="J27" s="88"/>
      <c r="K27" s="88"/>
      <c r="L27" s="88"/>
      <c r="M27" s="88"/>
      <c r="N27" s="88"/>
      <c r="O27" s="6"/>
      <c r="P27" s="3"/>
    </row>
    <row r="28" spans="1:16" x14ac:dyDescent="0.25">
      <c r="A28" s="1" t="s">
        <v>157</v>
      </c>
      <c r="B28" s="48" t="s">
        <v>14</v>
      </c>
      <c r="C28" s="218">
        <v>49258</v>
      </c>
      <c r="D28" s="219"/>
      <c r="E28" s="40"/>
      <c r="F28" s="2"/>
      <c r="G28" s="88"/>
      <c r="H28" s="88"/>
      <c r="I28" s="88"/>
      <c r="J28" s="88"/>
      <c r="K28" s="88"/>
      <c r="L28" s="88"/>
      <c r="M28" s="88"/>
      <c r="N28" s="88"/>
      <c r="O28" s="2"/>
      <c r="P28" s="3"/>
    </row>
    <row r="29" spans="1:16" x14ac:dyDescent="0.25">
      <c r="A29" s="1" t="s">
        <v>158</v>
      </c>
      <c r="B29" s="48" t="s">
        <v>31</v>
      </c>
      <c r="C29" s="218">
        <v>55553</v>
      </c>
      <c r="D29" s="219"/>
      <c r="E29" s="100"/>
      <c r="F29" s="2"/>
      <c r="G29" s="88"/>
      <c r="H29" s="88"/>
      <c r="I29" s="88"/>
      <c r="J29" s="88"/>
      <c r="K29" s="88"/>
      <c r="L29" s="88"/>
      <c r="M29" s="88"/>
      <c r="N29" s="88"/>
      <c r="O29" s="2"/>
      <c r="P29" s="3"/>
    </row>
    <row r="30" spans="1:16" x14ac:dyDescent="0.25">
      <c r="A30" s="1" t="s">
        <v>159</v>
      </c>
      <c r="B30" s="48" t="s">
        <v>34</v>
      </c>
      <c r="C30" s="225">
        <v>87738</v>
      </c>
      <c r="D30" s="226"/>
      <c r="E30" s="100"/>
      <c r="F30" s="2"/>
      <c r="G30" s="88"/>
      <c r="H30" s="88"/>
      <c r="I30" s="88"/>
      <c r="J30" s="88"/>
      <c r="K30" s="88"/>
      <c r="L30" s="88"/>
      <c r="M30" s="88"/>
      <c r="N30" s="88"/>
      <c r="O30" s="2"/>
      <c r="P30" s="3"/>
    </row>
    <row r="31" spans="1:16" x14ac:dyDescent="0.25">
      <c r="A31" s="1" t="s">
        <v>172</v>
      </c>
      <c r="B31" s="48" t="s">
        <v>61</v>
      </c>
      <c r="C31" s="218">
        <v>103700</v>
      </c>
      <c r="D31" s="219"/>
      <c r="E31" s="2"/>
      <c r="F31" s="2"/>
      <c r="G31" s="106"/>
      <c r="H31" s="106"/>
      <c r="I31" s="106"/>
      <c r="J31" s="106"/>
      <c r="K31" s="106"/>
      <c r="L31" s="106"/>
      <c r="M31" s="106"/>
      <c r="N31" s="106"/>
      <c r="O31" s="2"/>
      <c r="P31" s="3"/>
    </row>
    <row r="32" spans="1:16" x14ac:dyDescent="0.25">
      <c r="A32" s="105" t="s">
        <v>170</v>
      </c>
      <c r="B32" s="48" t="s">
        <v>171</v>
      </c>
      <c r="C32" s="227">
        <f>SUM(Ridership!L30:N30)</f>
        <v>25433</v>
      </c>
      <c r="D32" s="228"/>
      <c r="E32" s="2"/>
      <c r="F32" s="2"/>
      <c r="G32" s="106"/>
      <c r="H32" s="106"/>
      <c r="I32" s="106"/>
      <c r="J32" s="106"/>
      <c r="K32" s="106"/>
      <c r="L32" s="106"/>
      <c r="M32" s="106"/>
      <c r="N32" s="106"/>
      <c r="O32" s="2"/>
      <c r="P32" s="3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3"/>
    </row>
    <row r="34" spans="1:16" ht="26.25" x14ac:dyDescent="0.25">
      <c r="A34" s="216" t="s">
        <v>30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3"/>
    </row>
    <row r="35" spans="1:16" x14ac:dyDescent="0.25">
      <c r="A35" s="217" t="s">
        <v>71</v>
      </c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  <c r="N35" s="217"/>
      <c r="O35" s="217"/>
      <c r="P35" s="3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19" t="s">
        <v>187</v>
      </c>
      <c r="P36" s="3"/>
    </row>
    <row r="37" spans="1:16" ht="15.75" x14ac:dyDescent="0.25">
      <c r="A37" s="1" t="s">
        <v>29</v>
      </c>
      <c r="B37" s="33" t="s">
        <v>70</v>
      </c>
      <c r="C37" s="33" t="s">
        <v>81</v>
      </c>
      <c r="D37" s="33" t="s">
        <v>82</v>
      </c>
      <c r="E37" s="33" t="s">
        <v>104</v>
      </c>
      <c r="F37" s="33" t="s">
        <v>117</v>
      </c>
      <c r="G37" s="33" t="s">
        <v>124</v>
      </c>
      <c r="H37" s="33" t="s">
        <v>156</v>
      </c>
      <c r="I37" s="33" t="s">
        <v>161</v>
      </c>
      <c r="J37" s="33" t="s">
        <v>162</v>
      </c>
      <c r="K37" s="33" t="s">
        <v>166</v>
      </c>
      <c r="L37" s="33" t="s">
        <v>176</v>
      </c>
      <c r="M37" s="33" t="s">
        <v>182</v>
      </c>
      <c r="N37" s="55" t="s">
        <v>186</v>
      </c>
      <c r="O37" s="57" t="s">
        <v>77</v>
      </c>
      <c r="P37" s="3"/>
    </row>
    <row r="38" spans="1:16" ht="30" customHeight="1" x14ac:dyDescent="0.25">
      <c r="A38" s="75" t="s">
        <v>28</v>
      </c>
      <c r="B38" s="37">
        <v>626</v>
      </c>
      <c r="C38" s="37">
        <v>563</v>
      </c>
      <c r="D38" s="37">
        <v>359</v>
      </c>
      <c r="E38" s="37">
        <v>749</v>
      </c>
      <c r="F38" s="37">
        <v>522</v>
      </c>
      <c r="G38" s="37">
        <v>573</v>
      </c>
      <c r="H38" s="37">
        <v>718</v>
      </c>
      <c r="I38" s="37">
        <v>516</v>
      </c>
      <c r="J38" s="37">
        <v>501</v>
      </c>
      <c r="K38" s="37">
        <v>663</v>
      </c>
      <c r="L38" s="37">
        <v>464</v>
      </c>
      <c r="M38" s="37">
        <v>700</v>
      </c>
      <c r="N38" s="56">
        <v>518</v>
      </c>
      <c r="O38" s="58">
        <f>SUM(C38:N38)</f>
        <v>6846</v>
      </c>
      <c r="P38" s="3"/>
    </row>
    <row r="39" spans="1:16" x14ac:dyDescent="0.25">
      <c r="A39" s="1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2"/>
      <c r="P39" s="3"/>
    </row>
    <row r="40" spans="1:16" x14ac:dyDescent="0.25">
      <c r="A40" s="76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3"/>
    </row>
    <row r="41" spans="1:1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2"/>
      <c r="P41" s="3"/>
    </row>
    <row r="42" spans="1:1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3"/>
    </row>
    <row r="43" spans="1:16" x14ac:dyDescent="0.25">
      <c r="H43" s="90"/>
    </row>
  </sheetData>
  <sheetProtection algorithmName="SHA-512" hashValue="4qcCgXe2VKIaYnPICsDHOB8D+6QJ4cRl/rBMTWNExeJ092c4DSglompaFA9ar4GSuI1l2l5iLJxO/Hvk8CN1EA==" saltValue="fuVwe1c8hjm6QOvPC3K2AQ==" spinCount="100000" sheet="1" objects="1" scenarios="1"/>
  <mergeCells count="11">
    <mergeCell ref="A34:O34"/>
    <mergeCell ref="A35:O35"/>
    <mergeCell ref="C28:D28"/>
    <mergeCell ref="A1:O1"/>
    <mergeCell ref="A2:O2"/>
    <mergeCell ref="B19:D19"/>
    <mergeCell ref="C29:D29"/>
    <mergeCell ref="E23:E24"/>
    <mergeCell ref="C30:D30"/>
    <mergeCell ref="C31:D31"/>
    <mergeCell ref="C32:D32"/>
  </mergeCells>
  <pageMargins left="0.25" right="0.25" top="0.75" bottom="0.75" header="0.3" footer="0.3"/>
  <pageSetup scale="75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3A5EC-6D20-468D-AB84-B52E74A00412}">
  <sheetPr>
    <tabColor rgb="FFFF0000"/>
    <pageSetUpPr fitToPage="1"/>
  </sheetPr>
  <dimension ref="A1:P65"/>
  <sheetViews>
    <sheetView tabSelected="1" topLeftCell="A11" workbookViewId="0"/>
  </sheetViews>
  <sheetFormatPr defaultRowHeight="15" x14ac:dyDescent="0.25"/>
  <cols>
    <col min="1" max="13" width="12.7109375" customWidth="1"/>
    <col min="14" max="14" width="15.7109375" customWidth="1"/>
    <col min="16" max="16" width="10.42578125" bestFit="1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118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6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6" ht="15.75" x14ac:dyDescent="0.25">
      <c r="A25" s="49" t="s">
        <v>171</v>
      </c>
      <c r="B25" s="2">
        <v>5658</v>
      </c>
      <c r="C25" s="2">
        <v>6655</v>
      </c>
      <c r="D25" s="202">
        <v>5986</v>
      </c>
      <c r="E25" s="200">
        <f t="shared" ref="E25:M25" si="0">SUM(E39)</f>
        <v>6735.9721</v>
      </c>
      <c r="F25" s="200">
        <f t="shared" si="0"/>
        <v>5844.8456000000006</v>
      </c>
      <c r="G25" s="200">
        <f t="shared" si="0"/>
        <v>5876.7137000000002</v>
      </c>
      <c r="H25" s="200">
        <f t="shared" si="0"/>
        <v>6679.3177000000005</v>
      </c>
      <c r="I25" s="200">
        <f t="shared" si="0"/>
        <v>6845.74</v>
      </c>
      <c r="J25" s="200">
        <f t="shared" si="0"/>
        <v>6668.6949999999997</v>
      </c>
      <c r="K25" s="200">
        <f t="shared" si="0"/>
        <v>7373.3341</v>
      </c>
      <c r="L25" s="200">
        <f t="shared" si="0"/>
        <v>7289.5328</v>
      </c>
      <c r="M25" s="200">
        <f t="shared" si="0"/>
        <v>6393.6850999999997</v>
      </c>
      <c r="N25" s="200">
        <f>SUM(B25:M25)</f>
        <v>78006.8361</v>
      </c>
      <c r="O25" s="122">
        <f>SUM(N25-N26)</f>
        <v>12904.8361</v>
      </c>
      <c r="P25" s="123">
        <f>SUM(O25/N26)</f>
        <v>0.19822487941998709</v>
      </c>
    </row>
    <row r="26" spans="1:16" ht="15.75" x14ac:dyDescent="0.25">
      <c r="A26" s="49" t="s">
        <v>61</v>
      </c>
      <c r="B26" s="1">
        <v>4416</v>
      </c>
      <c r="C26" s="1">
        <v>5247</v>
      </c>
      <c r="D26" s="1">
        <v>4852</v>
      </c>
      <c r="E26" s="1">
        <v>5707</v>
      </c>
      <c r="F26" s="1">
        <v>4952</v>
      </c>
      <c r="G26" s="1">
        <v>4979</v>
      </c>
      <c r="H26" s="1">
        <v>5659</v>
      </c>
      <c r="I26" s="1">
        <v>5800</v>
      </c>
      <c r="J26" s="1">
        <v>5650</v>
      </c>
      <c r="K26" s="1">
        <v>6247</v>
      </c>
      <c r="L26" s="1">
        <v>6176</v>
      </c>
      <c r="M26" s="201">
        <v>5417</v>
      </c>
      <c r="N26" s="2">
        <f>SUM(B26:M26)</f>
        <v>65102</v>
      </c>
      <c r="O26" s="122">
        <f>SUM(N26-N27)</f>
        <v>9945</v>
      </c>
      <c r="P26" s="123">
        <f>SUM(O26/N27)</f>
        <v>0.18030349728955528</v>
      </c>
    </row>
    <row r="27" spans="1:16" ht="15.75" x14ac:dyDescent="0.25">
      <c r="A27" s="49" t="s">
        <v>34</v>
      </c>
      <c r="B27" s="1">
        <v>3295</v>
      </c>
      <c r="C27" s="1">
        <v>4480</v>
      </c>
      <c r="D27" s="1">
        <v>4677</v>
      </c>
      <c r="E27" s="1">
        <v>4975</v>
      </c>
      <c r="F27" s="1">
        <v>4591</v>
      </c>
      <c r="G27" s="1">
        <v>4548</v>
      </c>
      <c r="H27" s="1">
        <v>4876</v>
      </c>
      <c r="I27" s="1">
        <v>4268</v>
      </c>
      <c r="J27" s="1">
        <v>4844</v>
      </c>
      <c r="K27" s="193">
        <v>4264</v>
      </c>
      <c r="L27" s="1">
        <v>5205</v>
      </c>
      <c r="M27" s="1">
        <v>5134</v>
      </c>
      <c r="N27" s="2">
        <f t="shared" ref="N27:N29" si="1">SUM(B27:M27)</f>
        <v>55157</v>
      </c>
      <c r="O27" s="122">
        <f>SUM(N27-N28)</f>
        <v>21603</v>
      </c>
      <c r="P27" s="123">
        <f>SUM(O27/N28)</f>
        <v>0.64382785956964894</v>
      </c>
    </row>
    <row r="28" spans="1:16" ht="15.75" x14ac:dyDescent="0.25">
      <c r="A28" s="49" t="s">
        <v>31</v>
      </c>
      <c r="B28" s="115">
        <v>2615</v>
      </c>
      <c r="C28" s="1">
        <v>2577</v>
      </c>
      <c r="D28" s="1">
        <v>2392</v>
      </c>
      <c r="E28" s="1">
        <v>2616</v>
      </c>
      <c r="F28" s="1">
        <v>2467</v>
      </c>
      <c r="G28" s="1">
        <v>2995</v>
      </c>
      <c r="H28" s="1">
        <v>2417</v>
      </c>
      <c r="I28" s="1">
        <v>2353</v>
      </c>
      <c r="J28" s="73">
        <v>3179</v>
      </c>
      <c r="K28" s="1">
        <v>3070</v>
      </c>
      <c r="L28" s="1">
        <v>3244</v>
      </c>
      <c r="M28" s="1">
        <v>3629</v>
      </c>
      <c r="N28" s="2">
        <f t="shared" si="1"/>
        <v>33554</v>
      </c>
      <c r="O28" s="122">
        <f>SUM(N28-N29)</f>
        <v>4167</v>
      </c>
      <c r="P28" s="123">
        <f>SUM(O28/N29)</f>
        <v>0.14179739340524722</v>
      </c>
    </row>
    <row r="29" spans="1:16" ht="15.75" x14ac:dyDescent="0.25">
      <c r="A29" s="49" t="s">
        <v>14</v>
      </c>
      <c r="B29" s="1">
        <v>2374</v>
      </c>
      <c r="C29" s="1">
        <v>2316</v>
      </c>
      <c r="D29" s="1">
        <v>2617</v>
      </c>
      <c r="E29" s="1">
        <v>2939</v>
      </c>
      <c r="F29" s="1">
        <v>2534</v>
      </c>
      <c r="G29" s="1">
        <v>3259</v>
      </c>
      <c r="H29" s="1">
        <v>1971</v>
      </c>
      <c r="I29" s="1">
        <v>1987</v>
      </c>
      <c r="J29" s="116">
        <v>2552</v>
      </c>
      <c r="K29" s="1">
        <v>2331</v>
      </c>
      <c r="L29" s="1">
        <v>2027</v>
      </c>
      <c r="M29" s="1">
        <v>2480</v>
      </c>
      <c r="N29" s="2">
        <f t="shared" si="1"/>
        <v>29387</v>
      </c>
      <c r="O29" s="124"/>
      <c r="P29" s="125"/>
    </row>
    <row r="31" spans="1:16" x14ac:dyDescent="0.25">
      <c r="A31" s="107" t="s">
        <v>63</v>
      </c>
    </row>
    <row r="32" spans="1:16" ht="15.75" x14ac:dyDescent="0.25">
      <c r="A32" s="114" t="s">
        <v>174</v>
      </c>
      <c r="B32" s="111"/>
      <c r="C32" s="111"/>
      <c r="D32" s="111"/>
      <c r="E32" s="111"/>
      <c r="F32" s="111"/>
      <c r="G32" s="111"/>
      <c r="H32" s="111"/>
    </row>
    <row r="33" spans="1:16" x14ac:dyDescent="0.25">
      <c r="A33" s="101" t="s">
        <v>171</v>
      </c>
      <c r="B33" s="96" t="s">
        <v>43</v>
      </c>
      <c r="C33" s="96" t="s">
        <v>44</v>
      </c>
      <c r="D33" s="96" t="s">
        <v>45</v>
      </c>
      <c r="E33" s="96" t="s">
        <v>46</v>
      </c>
      <c r="F33" s="96" t="s">
        <v>47</v>
      </c>
      <c r="G33" s="96" t="s">
        <v>48</v>
      </c>
      <c r="H33" s="96" t="s">
        <v>49</v>
      </c>
      <c r="I33" s="96" t="s">
        <v>50</v>
      </c>
      <c r="J33" s="96" t="s">
        <v>27</v>
      </c>
      <c r="K33" s="96" t="s">
        <v>51</v>
      </c>
      <c r="L33" s="96" t="s">
        <v>52</v>
      </c>
      <c r="M33" s="96" t="s">
        <v>53</v>
      </c>
      <c r="N33" s="97" t="s">
        <v>54</v>
      </c>
    </row>
    <row r="34" spans="1:16" hidden="1" x14ac:dyDescent="0.25">
      <c r="A34" s="3" t="s">
        <v>66</v>
      </c>
      <c r="B34" s="1">
        <f>SUM(N34)</f>
        <v>78006.8361</v>
      </c>
      <c r="C34" s="1">
        <f>SUM(B34)</f>
        <v>78006.8361</v>
      </c>
      <c r="D34" s="1">
        <f t="shared" ref="D34:M34" si="2">SUM(C34)</f>
        <v>78006.8361</v>
      </c>
      <c r="E34" s="1">
        <f t="shared" si="2"/>
        <v>78006.8361</v>
      </c>
      <c r="F34" s="1">
        <f t="shared" si="2"/>
        <v>78006.8361</v>
      </c>
      <c r="G34" s="1">
        <f t="shared" si="2"/>
        <v>78006.8361</v>
      </c>
      <c r="H34" s="1">
        <f t="shared" si="2"/>
        <v>78006.8361</v>
      </c>
      <c r="I34" s="1">
        <f t="shared" si="2"/>
        <v>78006.8361</v>
      </c>
      <c r="J34" s="1">
        <f t="shared" si="2"/>
        <v>78006.8361</v>
      </c>
      <c r="K34" s="1">
        <f t="shared" si="2"/>
        <v>78006.8361</v>
      </c>
      <c r="L34" s="1">
        <f t="shared" si="2"/>
        <v>78006.8361</v>
      </c>
      <c r="M34" s="1">
        <f t="shared" si="2"/>
        <v>78006.8361</v>
      </c>
      <c r="N34" s="1">
        <f>SUM(N25)</f>
        <v>78006.8361</v>
      </c>
    </row>
    <row r="35" spans="1:16" x14ac:dyDescent="0.25">
      <c r="A35" s="3" t="s">
        <v>67</v>
      </c>
      <c r="B35" s="1">
        <f>SUM(B25)</f>
        <v>5658</v>
      </c>
      <c r="C35" s="1">
        <f t="shared" ref="C35:M35" si="3">SUM(C25)</f>
        <v>6655</v>
      </c>
      <c r="D35" s="1">
        <f t="shared" si="3"/>
        <v>5986</v>
      </c>
      <c r="E35" s="1">
        <f t="shared" si="3"/>
        <v>6735.9721</v>
      </c>
      <c r="F35" s="1">
        <f t="shared" si="3"/>
        <v>5844.8456000000006</v>
      </c>
      <c r="G35" s="1">
        <f t="shared" si="3"/>
        <v>5876.7137000000002</v>
      </c>
      <c r="H35" s="1">
        <f t="shared" si="3"/>
        <v>6679.3177000000005</v>
      </c>
      <c r="I35" s="1">
        <f t="shared" si="3"/>
        <v>6845.74</v>
      </c>
      <c r="J35" s="1">
        <f t="shared" si="3"/>
        <v>6668.6949999999997</v>
      </c>
      <c r="K35" s="1">
        <f t="shared" si="3"/>
        <v>7373.3341</v>
      </c>
      <c r="L35" s="1">
        <f t="shared" si="3"/>
        <v>7289.5328</v>
      </c>
      <c r="M35" s="1">
        <f t="shared" si="3"/>
        <v>6393.6850999999997</v>
      </c>
      <c r="N35" s="1">
        <f>SUM(B35:M35)</f>
        <v>78006.8361</v>
      </c>
      <c r="P35" s="90"/>
    </row>
    <row r="36" spans="1:16" x14ac:dyDescent="0.25">
      <c r="A36" s="3" t="s">
        <v>65</v>
      </c>
      <c r="B36" s="99">
        <f>SUM(B35/B38)</f>
        <v>7.363362904111162E-2</v>
      </c>
      <c r="C36" s="99">
        <f t="shared" ref="C36:M36" si="4">SUM(C35/C38)</f>
        <v>8.6608660528207468E-2</v>
      </c>
      <c r="D36" s="99">
        <f t="shared" si="4"/>
        <v>7.7902245217407948E-2</v>
      </c>
      <c r="E36" s="99">
        <f t="shared" si="4"/>
        <v>8.7662437405916865E-2</v>
      </c>
      <c r="F36" s="99">
        <f t="shared" si="4"/>
        <v>7.6065251451568311E-2</v>
      </c>
      <c r="G36" s="99">
        <f t="shared" si="4"/>
        <v>7.6479985253909255E-2</v>
      </c>
      <c r="H36" s="99">
        <f t="shared" si="4"/>
        <v>8.6925132868421864E-2</v>
      </c>
      <c r="I36" s="99">
        <f t="shared" si="4"/>
        <v>8.9090964947313445E-2</v>
      </c>
      <c r="J36" s="99">
        <f t="shared" si="4"/>
        <v>8.678688826764154E-2</v>
      </c>
      <c r="K36" s="99">
        <f t="shared" si="4"/>
        <v>9.5957113452735707E-2</v>
      </c>
      <c r="L36" s="99">
        <f t="shared" si="4"/>
        <v>9.486651715769101E-2</v>
      </c>
      <c r="M36" s="99">
        <f t="shared" si="4"/>
        <v>8.3207889158551193E-2</v>
      </c>
      <c r="N36" s="99">
        <f>SUM(B36:M36)</f>
        <v>1.0151867147504763</v>
      </c>
      <c r="O36" s="101" t="s">
        <v>56</v>
      </c>
    </row>
    <row r="37" spans="1:16" x14ac:dyDescent="0.25">
      <c r="A37" s="109" t="s">
        <v>69</v>
      </c>
      <c r="B37" s="102">
        <f>SUM(B35-B43)/B43</f>
        <v>0.28125</v>
      </c>
      <c r="C37" s="102">
        <f t="shared" ref="C37:N37" si="5">SUM(C35-C43)/C43</f>
        <v>0.26834381551362685</v>
      </c>
      <c r="D37" s="102">
        <f t="shared" si="5"/>
        <v>0.23371805441055235</v>
      </c>
      <c r="E37" s="102">
        <f t="shared" si="5"/>
        <v>0.18029999999999999</v>
      </c>
      <c r="F37" s="102">
        <f t="shared" si="5"/>
        <v>0.1803000000000001</v>
      </c>
      <c r="G37" s="102">
        <f t="shared" si="5"/>
        <v>0.18030000000000004</v>
      </c>
      <c r="H37" s="102">
        <f t="shared" si="5"/>
        <v>0.1803000000000001</v>
      </c>
      <c r="I37" s="102">
        <f t="shared" si="5"/>
        <v>0.18029999999999996</v>
      </c>
      <c r="J37" s="102">
        <f t="shared" si="5"/>
        <v>0.18029999999999996</v>
      </c>
      <c r="K37" s="102">
        <f t="shared" si="5"/>
        <v>0.18030000000000002</v>
      </c>
      <c r="L37" s="102">
        <f t="shared" si="5"/>
        <v>0.18029999999999999</v>
      </c>
      <c r="M37" s="102">
        <f t="shared" si="5"/>
        <v>0.18029999999999993</v>
      </c>
      <c r="N37" s="102">
        <f t="shared" si="5"/>
        <v>0.19822487941998709</v>
      </c>
      <c r="O37" s="110">
        <f>SUM(O25)</f>
        <v>12904.8361</v>
      </c>
    </row>
    <row r="38" spans="1:16" hidden="1" x14ac:dyDescent="0.25">
      <c r="A38" s="205" t="s">
        <v>181</v>
      </c>
      <c r="B38" s="111">
        <f>SUM(N26*1.1803)</f>
        <v>76839.890599999999</v>
      </c>
      <c r="C38" s="111">
        <f>SUM(B38)</f>
        <v>76839.890599999999</v>
      </c>
      <c r="D38" s="111">
        <f t="shared" ref="D38:M38" si="6">SUM(C38)</f>
        <v>76839.890599999999</v>
      </c>
      <c r="E38" s="111">
        <f t="shared" si="6"/>
        <v>76839.890599999999</v>
      </c>
      <c r="F38" s="111">
        <f t="shared" si="6"/>
        <v>76839.890599999999</v>
      </c>
      <c r="G38" s="111">
        <f t="shared" si="6"/>
        <v>76839.890599999999</v>
      </c>
      <c r="H38" s="111">
        <f t="shared" si="6"/>
        <v>76839.890599999999</v>
      </c>
      <c r="I38" s="111">
        <f t="shared" si="6"/>
        <v>76839.890599999999</v>
      </c>
      <c r="J38" s="111">
        <f t="shared" si="6"/>
        <v>76839.890599999999</v>
      </c>
      <c r="K38" s="111">
        <f t="shared" si="6"/>
        <v>76839.890599999999</v>
      </c>
      <c r="L38" s="111">
        <f t="shared" si="6"/>
        <v>76839.890599999999</v>
      </c>
      <c r="M38" s="111">
        <f t="shared" si="6"/>
        <v>76839.890599999999</v>
      </c>
      <c r="N38" s="111">
        <f>SUM(M38)</f>
        <v>76839.890599999999</v>
      </c>
    </row>
    <row r="39" spans="1:16" x14ac:dyDescent="0.25">
      <c r="A39" s="205" t="s">
        <v>180</v>
      </c>
      <c r="B39" s="111">
        <f>SUM(B38*B44)</f>
        <v>5212.2047999999995</v>
      </c>
      <c r="C39" s="111">
        <f t="shared" ref="C39:M39" si="7">SUM(C38*C44)</f>
        <v>6193.0340999999999</v>
      </c>
      <c r="D39" s="111">
        <f t="shared" si="7"/>
        <v>5726.8155999999999</v>
      </c>
      <c r="E39" s="111">
        <f t="shared" si="7"/>
        <v>6735.9721</v>
      </c>
      <c r="F39" s="111">
        <f t="shared" si="7"/>
        <v>5844.8456000000006</v>
      </c>
      <c r="G39" s="111">
        <f t="shared" si="7"/>
        <v>5876.7137000000002</v>
      </c>
      <c r="H39" s="111">
        <f t="shared" si="7"/>
        <v>6679.3177000000005</v>
      </c>
      <c r="I39" s="111">
        <f t="shared" si="7"/>
        <v>6845.74</v>
      </c>
      <c r="J39" s="111">
        <f t="shared" si="7"/>
        <v>6668.6949999999997</v>
      </c>
      <c r="K39" s="111">
        <f t="shared" si="7"/>
        <v>7373.3341</v>
      </c>
      <c r="L39" s="111">
        <f t="shared" si="7"/>
        <v>7289.5328</v>
      </c>
      <c r="M39" s="111">
        <f t="shared" si="7"/>
        <v>6393.6850999999997</v>
      </c>
      <c r="N39" s="111">
        <f>SUM(B39:M39)</f>
        <v>76839.890599999999</v>
      </c>
    </row>
    <row r="40" spans="1:16" ht="15.75" x14ac:dyDescent="0.25">
      <c r="A40" s="98" t="s">
        <v>173</v>
      </c>
      <c r="B40" s="1"/>
      <c r="C40" s="1"/>
      <c r="D40" s="1"/>
      <c r="E40" s="1"/>
      <c r="F40" s="1"/>
      <c r="G40" s="1"/>
      <c r="H40" s="1"/>
    </row>
    <row r="41" spans="1:16" x14ac:dyDescent="0.25">
      <c r="A41" s="101" t="s">
        <v>61</v>
      </c>
      <c r="B41" s="96" t="s">
        <v>43</v>
      </c>
      <c r="C41" s="96" t="s">
        <v>44</v>
      </c>
      <c r="D41" s="96" t="s">
        <v>45</v>
      </c>
      <c r="E41" s="96" t="s">
        <v>46</v>
      </c>
      <c r="F41" s="96" t="s">
        <v>47</v>
      </c>
      <c r="G41" s="96" t="s">
        <v>48</v>
      </c>
      <c r="H41" s="96" t="s">
        <v>49</v>
      </c>
      <c r="I41" s="96" t="s">
        <v>50</v>
      </c>
      <c r="J41" s="96" t="s">
        <v>27</v>
      </c>
      <c r="K41" s="96" t="s">
        <v>51</v>
      </c>
      <c r="L41" s="96" t="s">
        <v>52</v>
      </c>
      <c r="M41" s="96" t="s">
        <v>53</v>
      </c>
      <c r="N41" s="97" t="s">
        <v>54</v>
      </c>
    </row>
    <row r="42" spans="1:16" hidden="1" x14ac:dyDescent="0.25">
      <c r="A42" s="3" t="s">
        <v>66</v>
      </c>
      <c r="B42" s="1">
        <f>SUM(N42)</f>
        <v>65102</v>
      </c>
      <c r="C42" s="1">
        <f t="shared" ref="C42:M42" si="8">SUM(B42)</f>
        <v>65102</v>
      </c>
      <c r="D42" s="1">
        <f t="shared" si="8"/>
        <v>65102</v>
      </c>
      <c r="E42" s="1">
        <f t="shared" si="8"/>
        <v>65102</v>
      </c>
      <c r="F42" s="1">
        <f t="shared" si="8"/>
        <v>65102</v>
      </c>
      <c r="G42" s="1">
        <f t="shared" si="8"/>
        <v>65102</v>
      </c>
      <c r="H42" s="1">
        <f t="shared" si="8"/>
        <v>65102</v>
      </c>
      <c r="I42" s="1">
        <f t="shared" si="8"/>
        <v>65102</v>
      </c>
      <c r="J42" s="1">
        <f t="shared" si="8"/>
        <v>65102</v>
      </c>
      <c r="K42" s="1">
        <f t="shared" si="8"/>
        <v>65102</v>
      </c>
      <c r="L42" s="1">
        <f t="shared" si="8"/>
        <v>65102</v>
      </c>
      <c r="M42" s="1">
        <f t="shared" si="8"/>
        <v>65102</v>
      </c>
      <c r="N42" s="1">
        <f>SUM(N26)</f>
        <v>65102</v>
      </c>
    </row>
    <row r="43" spans="1:16" x14ac:dyDescent="0.25">
      <c r="A43" s="3" t="s">
        <v>67</v>
      </c>
      <c r="B43" s="1">
        <f t="shared" ref="B43:M43" si="9">SUM(B26)</f>
        <v>4416</v>
      </c>
      <c r="C43" s="1">
        <f t="shared" si="9"/>
        <v>5247</v>
      </c>
      <c r="D43" s="1">
        <f t="shared" si="9"/>
        <v>4852</v>
      </c>
      <c r="E43" s="1">
        <f t="shared" si="9"/>
        <v>5707</v>
      </c>
      <c r="F43" s="1">
        <f t="shared" si="9"/>
        <v>4952</v>
      </c>
      <c r="G43" s="1">
        <f t="shared" si="9"/>
        <v>4979</v>
      </c>
      <c r="H43" s="1">
        <f t="shared" si="9"/>
        <v>5659</v>
      </c>
      <c r="I43" s="1">
        <f t="shared" si="9"/>
        <v>5800</v>
      </c>
      <c r="J43" s="1">
        <f t="shared" si="9"/>
        <v>5650</v>
      </c>
      <c r="K43" s="1">
        <f t="shared" si="9"/>
        <v>6247</v>
      </c>
      <c r="L43" s="1">
        <f t="shared" si="9"/>
        <v>6176</v>
      </c>
      <c r="M43" s="1">
        <f t="shared" si="9"/>
        <v>5417</v>
      </c>
      <c r="N43" s="1">
        <f>SUM(B43:M43)</f>
        <v>65102</v>
      </c>
    </row>
    <row r="44" spans="1:16" x14ac:dyDescent="0.25">
      <c r="A44" s="3" t="s">
        <v>65</v>
      </c>
      <c r="B44" s="99">
        <f>SUM(B43/B42)</f>
        <v>6.7832017449540719E-2</v>
      </c>
      <c r="C44" s="99">
        <f t="shared" ref="C44:M44" si="10">SUM(C43/C42)</f>
        <v>8.0596602254923044E-2</v>
      </c>
      <c r="D44" s="99">
        <f t="shared" si="10"/>
        <v>7.4529200331787046E-2</v>
      </c>
      <c r="E44" s="99">
        <f t="shared" si="10"/>
        <v>8.7662437405916865E-2</v>
      </c>
      <c r="F44" s="99">
        <f t="shared" si="10"/>
        <v>7.6065251451568311E-2</v>
      </c>
      <c r="G44" s="99">
        <f t="shared" si="10"/>
        <v>7.6479985253909255E-2</v>
      </c>
      <c r="H44" s="99">
        <f t="shared" si="10"/>
        <v>8.6925132868421864E-2</v>
      </c>
      <c r="I44" s="99">
        <f t="shared" si="10"/>
        <v>8.9090964947313445E-2</v>
      </c>
      <c r="J44" s="99">
        <f t="shared" si="10"/>
        <v>8.678688826764154E-2</v>
      </c>
      <c r="K44" s="99">
        <f t="shared" si="10"/>
        <v>9.5957113452735707E-2</v>
      </c>
      <c r="L44" s="99">
        <f t="shared" si="10"/>
        <v>9.486651715769101E-2</v>
      </c>
      <c r="M44" s="99">
        <f t="shared" si="10"/>
        <v>8.3207889158551193E-2</v>
      </c>
      <c r="N44" s="99">
        <f>SUM(B44:M44)</f>
        <v>1</v>
      </c>
      <c r="O44" s="101" t="s">
        <v>56</v>
      </c>
    </row>
    <row r="45" spans="1:16" x14ac:dyDescent="0.25">
      <c r="A45" s="109" t="s">
        <v>69</v>
      </c>
      <c r="B45" s="102">
        <f t="shared" ref="B45:N45" si="11">SUM(B43-B50)/B50</f>
        <v>0.34021244309559939</v>
      </c>
      <c r="C45" s="102">
        <f t="shared" si="11"/>
        <v>0.17120535714285715</v>
      </c>
      <c r="D45" s="102">
        <f t="shared" si="11"/>
        <v>3.7417147744280524E-2</v>
      </c>
      <c r="E45" s="102">
        <f t="shared" si="11"/>
        <v>0.14713567839195979</v>
      </c>
      <c r="F45" s="102">
        <f t="shared" si="11"/>
        <v>7.8632106294924856E-2</v>
      </c>
      <c r="G45" s="102">
        <f t="shared" si="11"/>
        <v>9.4766930518909415E-2</v>
      </c>
      <c r="H45" s="102">
        <f t="shared" si="11"/>
        <v>0.16058244462674323</v>
      </c>
      <c r="I45" s="102">
        <f t="shared" si="11"/>
        <v>0.35895032802249299</v>
      </c>
      <c r="J45" s="102">
        <f t="shared" si="11"/>
        <v>0.16639141205615193</v>
      </c>
      <c r="K45" s="102">
        <f t="shared" si="11"/>
        <v>0.46505628517823638</v>
      </c>
      <c r="L45" s="102">
        <f t="shared" si="11"/>
        <v>0.18655139289145053</v>
      </c>
      <c r="M45" s="102">
        <f t="shared" si="11"/>
        <v>5.5122711336190108E-2</v>
      </c>
      <c r="N45" s="102">
        <f t="shared" si="11"/>
        <v>0.18030349728955528</v>
      </c>
      <c r="O45" s="110">
        <f>SUM(N43-N50)</f>
        <v>9945</v>
      </c>
    </row>
    <row r="47" spans="1:16" ht="15.75" x14ac:dyDescent="0.25">
      <c r="A47" s="98" t="s">
        <v>64</v>
      </c>
    </row>
    <row r="48" spans="1:16" x14ac:dyDescent="0.25">
      <c r="A48" s="101" t="s">
        <v>34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55157</v>
      </c>
      <c r="C49" s="1">
        <f t="shared" ref="C49:M49" si="12">SUM(B49)</f>
        <v>55157</v>
      </c>
      <c r="D49" s="1">
        <f t="shared" si="12"/>
        <v>55157</v>
      </c>
      <c r="E49" s="1">
        <f t="shared" si="12"/>
        <v>55157</v>
      </c>
      <c r="F49" s="1">
        <f t="shared" si="12"/>
        <v>55157</v>
      </c>
      <c r="G49" s="1">
        <f t="shared" si="12"/>
        <v>55157</v>
      </c>
      <c r="H49" s="1">
        <f t="shared" si="12"/>
        <v>55157</v>
      </c>
      <c r="I49" s="1">
        <f t="shared" si="12"/>
        <v>55157</v>
      </c>
      <c r="J49" s="1">
        <f t="shared" si="12"/>
        <v>55157</v>
      </c>
      <c r="K49" s="1">
        <f t="shared" si="12"/>
        <v>55157</v>
      </c>
      <c r="L49" s="1">
        <f t="shared" si="12"/>
        <v>55157</v>
      </c>
      <c r="M49" s="1">
        <f t="shared" si="12"/>
        <v>55157</v>
      </c>
      <c r="N49" s="1">
        <f>SUM(N27)</f>
        <v>55157</v>
      </c>
    </row>
    <row r="50" spans="1:15" x14ac:dyDescent="0.25">
      <c r="A50" s="3" t="s">
        <v>67</v>
      </c>
      <c r="B50" s="1">
        <f t="shared" ref="B50:M50" si="13">SUM(B27)</f>
        <v>3295</v>
      </c>
      <c r="C50" s="1">
        <f t="shared" si="13"/>
        <v>4480</v>
      </c>
      <c r="D50" s="1">
        <f t="shared" si="13"/>
        <v>4677</v>
      </c>
      <c r="E50" s="1">
        <f t="shared" si="13"/>
        <v>4975</v>
      </c>
      <c r="F50" s="1">
        <f t="shared" si="13"/>
        <v>4591</v>
      </c>
      <c r="G50" s="1">
        <f t="shared" si="13"/>
        <v>4548</v>
      </c>
      <c r="H50" s="1">
        <f t="shared" si="13"/>
        <v>4876</v>
      </c>
      <c r="I50" s="1">
        <f t="shared" si="13"/>
        <v>4268</v>
      </c>
      <c r="J50" s="1">
        <f t="shared" si="13"/>
        <v>4844</v>
      </c>
      <c r="K50" s="1">
        <f t="shared" si="13"/>
        <v>4264</v>
      </c>
      <c r="L50" s="1">
        <f t="shared" si="13"/>
        <v>5205</v>
      </c>
      <c r="M50" s="1">
        <f t="shared" si="13"/>
        <v>5134</v>
      </c>
      <c r="N50" s="1">
        <f>SUM(B50:M50)</f>
        <v>55157</v>
      </c>
    </row>
    <row r="51" spans="1:15" x14ac:dyDescent="0.25">
      <c r="A51" s="3" t="s">
        <v>65</v>
      </c>
      <c r="B51" s="99">
        <f>SUM(B50/B49)</f>
        <v>5.9738564461446417E-2</v>
      </c>
      <c r="C51" s="99">
        <f t="shared" ref="C51:M51" si="14">SUM(C50/C49)</f>
        <v>8.1222691589462812E-2</v>
      </c>
      <c r="D51" s="99">
        <f t="shared" si="14"/>
        <v>8.4794314411588731E-2</v>
      </c>
      <c r="E51" s="99">
        <f t="shared" si="14"/>
        <v>9.0197073807494962E-2</v>
      </c>
      <c r="F51" s="99">
        <f t="shared" si="14"/>
        <v>8.323512881411245E-2</v>
      </c>
      <c r="G51" s="99">
        <f t="shared" si="14"/>
        <v>8.2455536015374295E-2</v>
      </c>
      <c r="H51" s="99">
        <f t="shared" si="14"/>
        <v>8.8402197363888532E-2</v>
      </c>
      <c r="I51" s="99">
        <f t="shared" si="14"/>
        <v>7.7379117791032875E-2</v>
      </c>
      <c r="J51" s="99">
        <f t="shared" si="14"/>
        <v>8.7822035281106658E-2</v>
      </c>
      <c r="K51" s="99">
        <f t="shared" si="14"/>
        <v>7.7306597530685139E-2</v>
      </c>
      <c r="L51" s="99">
        <f t="shared" si="14"/>
        <v>9.436698877748971E-2</v>
      </c>
      <c r="M51" s="99">
        <f t="shared" si="14"/>
        <v>9.3079754156317418E-2</v>
      </c>
      <c r="N51" s="99">
        <f>SUM(B51:M51)</f>
        <v>1</v>
      </c>
      <c r="O51" s="101" t="s">
        <v>56</v>
      </c>
    </row>
    <row r="52" spans="1:15" x14ac:dyDescent="0.25">
      <c r="A52" s="109" t="s">
        <v>69</v>
      </c>
      <c r="B52" s="102">
        <f t="shared" ref="B52:N52" si="15">SUM(B50-B57)/B57</f>
        <v>0.26003824091778205</v>
      </c>
      <c r="C52" s="102">
        <f t="shared" si="15"/>
        <v>0.73845556849049288</v>
      </c>
      <c r="D52" s="102">
        <f t="shared" si="15"/>
        <v>0.95526755852842804</v>
      </c>
      <c r="E52" s="102">
        <f t="shared" si="15"/>
        <v>0.90175840978593269</v>
      </c>
      <c r="F52" s="102">
        <f t="shared" si="15"/>
        <v>0.8609647344953385</v>
      </c>
      <c r="G52" s="102">
        <f t="shared" si="15"/>
        <v>0.51853088480801335</v>
      </c>
      <c r="H52" s="102">
        <f t="shared" si="15"/>
        <v>1.0173769135291684</v>
      </c>
      <c r="I52" s="102">
        <f t="shared" si="15"/>
        <v>0.81385465363365916</v>
      </c>
      <c r="J52" s="102">
        <f t="shared" si="15"/>
        <v>0.52374960679458948</v>
      </c>
      <c r="K52" s="102">
        <f t="shared" si="15"/>
        <v>0.38892508143322474</v>
      </c>
      <c r="L52" s="102">
        <f t="shared" si="15"/>
        <v>0.6045006165228114</v>
      </c>
      <c r="M52" s="102">
        <f t="shared" si="15"/>
        <v>0.41471479746486634</v>
      </c>
      <c r="N52" s="102">
        <f t="shared" si="15"/>
        <v>0.64382785956964894</v>
      </c>
      <c r="O52" s="110">
        <f>SUM(N50-N57)</f>
        <v>21603</v>
      </c>
    </row>
    <row r="54" spans="1:15" ht="15.75" x14ac:dyDescent="0.25">
      <c r="A54" s="98" t="s">
        <v>55</v>
      </c>
    </row>
    <row r="55" spans="1:15" x14ac:dyDescent="0.25">
      <c r="A55" s="101" t="s">
        <v>31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3" t="s">
        <v>66</v>
      </c>
      <c r="B56" s="1">
        <f>SUM(N56)</f>
        <v>33554</v>
      </c>
      <c r="C56" s="1">
        <f t="shared" ref="C56:M56" si="16">SUM(B56)</f>
        <v>33554</v>
      </c>
      <c r="D56" s="1">
        <f t="shared" si="16"/>
        <v>33554</v>
      </c>
      <c r="E56" s="1">
        <f t="shared" si="16"/>
        <v>33554</v>
      </c>
      <c r="F56" s="1">
        <f t="shared" si="16"/>
        <v>33554</v>
      </c>
      <c r="G56" s="1">
        <f t="shared" si="16"/>
        <v>33554</v>
      </c>
      <c r="H56" s="1">
        <f t="shared" si="16"/>
        <v>33554</v>
      </c>
      <c r="I56" s="1">
        <f t="shared" si="16"/>
        <v>33554</v>
      </c>
      <c r="J56" s="1">
        <f t="shared" si="16"/>
        <v>33554</v>
      </c>
      <c r="K56" s="1">
        <f t="shared" si="16"/>
        <v>33554</v>
      </c>
      <c r="L56" s="1">
        <f t="shared" si="16"/>
        <v>33554</v>
      </c>
      <c r="M56" s="1">
        <f t="shared" si="16"/>
        <v>33554</v>
      </c>
      <c r="N56" s="1">
        <f>SUM(N28)</f>
        <v>33554</v>
      </c>
    </row>
    <row r="57" spans="1:15" x14ac:dyDescent="0.25">
      <c r="A57" s="3" t="s">
        <v>67</v>
      </c>
      <c r="B57" s="1">
        <f t="shared" ref="B57:M57" si="17">SUM(B28)</f>
        <v>2615</v>
      </c>
      <c r="C57" s="1">
        <f t="shared" si="17"/>
        <v>2577</v>
      </c>
      <c r="D57" s="1">
        <f t="shared" si="17"/>
        <v>2392</v>
      </c>
      <c r="E57" s="1">
        <f t="shared" si="17"/>
        <v>2616</v>
      </c>
      <c r="F57" s="1">
        <f t="shared" si="17"/>
        <v>2467</v>
      </c>
      <c r="G57" s="1">
        <f t="shared" si="17"/>
        <v>2995</v>
      </c>
      <c r="H57" s="1">
        <f t="shared" si="17"/>
        <v>2417</v>
      </c>
      <c r="I57" s="1">
        <f t="shared" si="17"/>
        <v>2353</v>
      </c>
      <c r="J57" s="1">
        <f t="shared" si="17"/>
        <v>3179</v>
      </c>
      <c r="K57" s="1">
        <f t="shared" si="17"/>
        <v>3070</v>
      </c>
      <c r="L57" s="1">
        <f t="shared" si="17"/>
        <v>3244</v>
      </c>
      <c r="M57" s="1">
        <f t="shared" si="17"/>
        <v>3629</v>
      </c>
      <c r="N57" s="1">
        <f>SUM(B57:M57)</f>
        <v>33554</v>
      </c>
    </row>
    <row r="58" spans="1:15" x14ac:dyDescent="0.25">
      <c r="A58" s="3" t="s">
        <v>65</v>
      </c>
      <c r="B58" s="99">
        <f>SUM(B57/B56)</f>
        <v>7.7934076414138409E-2</v>
      </c>
      <c r="C58" s="99">
        <f t="shared" ref="C58:M58" si="18">SUM(C57/C56)</f>
        <v>7.6801573582881325E-2</v>
      </c>
      <c r="D58" s="99">
        <f t="shared" si="18"/>
        <v>7.1288072957024495E-2</v>
      </c>
      <c r="E58" s="99">
        <f t="shared" si="18"/>
        <v>7.7963879120224122E-2</v>
      </c>
      <c r="F58" s="99">
        <f t="shared" si="18"/>
        <v>7.3523275913452937E-2</v>
      </c>
      <c r="G58" s="99">
        <f t="shared" si="18"/>
        <v>8.9259104726709185E-2</v>
      </c>
      <c r="H58" s="99">
        <f t="shared" si="18"/>
        <v>7.2033140609167309E-2</v>
      </c>
      <c r="I58" s="99">
        <f t="shared" si="18"/>
        <v>7.0125767419681712E-2</v>
      </c>
      <c r="J58" s="99">
        <f t="shared" si="18"/>
        <v>9.4742802646480301E-2</v>
      </c>
      <c r="K58" s="99">
        <f t="shared" si="18"/>
        <v>9.1494307683137627E-2</v>
      </c>
      <c r="L58" s="99">
        <f t="shared" si="18"/>
        <v>9.6679978542051612E-2</v>
      </c>
      <c r="M58" s="99">
        <f t="shared" si="18"/>
        <v>0.10815402038505097</v>
      </c>
      <c r="N58" s="99">
        <f>SUM(B58:M58)</f>
        <v>0.99999999999999978</v>
      </c>
      <c r="O58" s="101" t="s">
        <v>56</v>
      </c>
    </row>
    <row r="59" spans="1:15" x14ac:dyDescent="0.25">
      <c r="A59" s="109" t="s">
        <v>69</v>
      </c>
      <c r="B59" s="102">
        <f t="shared" ref="B59:N59" si="19">SUM(B57-B64)/B64</f>
        <v>0.10151642796967145</v>
      </c>
      <c r="C59" s="102">
        <f t="shared" si="19"/>
        <v>0.11269430051813471</v>
      </c>
      <c r="D59" s="102">
        <f t="shared" si="19"/>
        <v>-8.597630875047764E-2</v>
      </c>
      <c r="E59" s="102">
        <f t="shared" si="19"/>
        <v>-0.10990132698196665</v>
      </c>
      <c r="F59" s="102">
        <f t="shared" si="19"/>
        <v>-2.644041041831097E-2</v>
      </c>
      <c r="G59" s="102">
        <f t="shared" si="19"/>
        <v>-8.1006443694384783E-2</v>
      </c>
      <c r="H59" s="102">
        <f t="shared" si="19"/>
        <v>0.22628107559614408</v>
      </c>
      <c r="I59" s="102">
        <f t="shared" si="19"/>
        <v>0.18419728233517865</v>
      </c>
      <c r="J59" s="102">
        <f t="shared" si="19"/>
        <v>0.24568965517241378</v>
      </c>
      <c r="K59" s="102">
        <f t="shared" si="19"/>
        <v>0.31703131703131704</v>
      </c>
      <c r="L59" s="102">
        <f t="shared" si="19"/>
        <v>0.60039467192895901</v>
      </c>
      <c r="M59" s="102">
        <f t="shared" si="19"/>
        <v>0.46330645161290324</v>
      </c>
      <c r="N59" s="102">
        <f t="shared" si="19"/>
        <v>0.14179739340524722</v>
      </c>
      <c r="O59" s="110">
        <f>SUM(N57-N64)</f>
        <v>4167</v>
      </c>
    </row>
    <row r="61" spans="1:15" x14ac:dyDescent="0.25">
      <c r="A61" s="108" t="s">
        <v>68</v>
      </c>
    </row>
    <row r="62" spans="1:15" x14ac:dyDescent="0.25">
      <c r="A62" s="101" t="s">
        <v>14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3" t="s">
        <v>66</v>
      </c>
      <c r="B63" s="1">
        <f>SUM(N63)</f>
        <v>29387</v>
      </c>
      <c r="C63" s="1">
        <f t="shared" ref="C63:M63" si="20">SUM(B63)</f>
        <v>29387</v>
      </c>
      <c r="D63" s="1">
        <f t="shared" si="20"/>
        <v>29387</v>
      </c>
      <c r="E63" s="1">
        <f t="shared" si="20"/>
        <v>29387</v>
      </c>
      <c r="F63" s="1">
        <f t="shared" si="20"/>
        <v>29387</v>
      </c>
      <c r="G63" s="1">
        <f t="shared" si="20"/>
        <v>29387</v>
      </c>
      <c r="H63" s="1">
        <f t="shared" si="20"/>
        <v>29387</v>
      </c>
      <c r="I63" s="1">
        <f t="shared" si="20"/>
        <v>29387</v>
      </c>
      <c r="J63" s="1">
        <f t="shared" si="20"/>
        <v>29387</v>
      </c>
      <c r="K63" s="1">
        <f t="shared" si="20"/>
        <v>29387</v>
      </c>
      <c r="L63" s="1">
        <f t="shared" si="20"/>
        <v>29387</v>
      </c>
      <c r="M63" s="1">
        <f t="shared" si="20"/>
        <v>29387</v>
      </c>
      <c r="N63" s="1">
        <f>SUM(N29)</f>
        <v>29387</v>
      </c>
    </row>
    <row r="64" spans="1:15" x14ac:dyDescent="0.25">
      <c r="A64" s="3" t="s">
        <v>67</v>
      </c>
      <c r="B64" s="1">
        <f t="shared" ref="B64:M64" si="21">SUM(B29)</f>
        <v>2374</v>
      </c>
      <c r="C64" s="1">
        <f t="shared" si="21"/>
        <v>2316</v>
      </c>
      <c r="D64" s="1">
        <f t="shared" si="21"/>
        <v>2617</v>
      </c>
      <c r="E64" s="1">
        <f t="shared" si="21"/>
        <v>2939</v>
      </c>
      <c r="F64" s="1">
        <f t="shared" si="21"/>
        <v>2534</v>
      </c>
      <c r="G64" s="1">
        <f t="shared" si="21"/>
        <v>3259</v>
      </c>
      <c r="H64" s="1">
        <f t="shared" si="21"/>
        <v>1971</v>
      </c>
      <c r="I64" s="1">
        <f t="shared" si="21"/>
        <v>1987</v>
      </c>
      <c r="J64" s="1">
        <f t="shared" si="21"/>
        <v>2552</v>
      </c>
      <c r="K64" s="1">
        <f t="shared" si="21"/>
        <v>2331</v>
      </c>
      <c r="L64" s="1">
        <f t="shared" si="21"/>
        <v>2027</v>
      </c>
      <c r="M64" s="1">
        <f t="shared" si="21"/>
        <v>2480</v>
      </c>
      <c r="N64" s="1">
        <f>SUM(B64:M64)</f>
        <v>29387</v>
      </c>
    </row>
    <row r="65" spans="1:14" x14ac:dyDescent="0.25">
      <c r="A65" s="3" t="s">
        <v>65</v>
      </c>
      <c r="B65" s="99">
        <f>SUM(B64/B63)</f>
        <v>8.0784020144962054E-2</v>
      </c>
      <c r="C65" s="99">
        <f t="shared" ref="C65:M65" si="22">SUM(C64/C63)</f>
        <v>7.881035832170688E-2</v>
      </c>
      <c r="D65" s="99">
        <f t="shared" si="22"/>
        <v>8.9052982611358758E-2</v>
      </c>
      <c r="E65" s="99">
        <f t="shared" si="22"/>
        <v>0.10001020859563753</v>
      </c>
      <c r="F65" s="99">
        <f t="shared" si="22"/>
        <v>8.6228604484976351E-2</v>
      </c>
      <c r="G65" s="99">
        <f t="shared" si="22"/>
        <v>0.11089937727566611</v>
      </c>
      <c r="H65" s="99">
        <f t="shared" si="22"/>
        <v>6.7070473338551054E-2</v>
      </c>
      <c r="I65" s="99">
        <f t="shared" si="22"/>
        <v>6.7614931772552483E-2</v>
      </c>
      <c r="J65" s="99">
        <f t="shared" si="22"/>
        <v>8.6841120223227958E-2</v>
      </c>
      <c r="K65" s="99">
        <f t="shared" si="22"/>
        <v>7.9320788103583215E-2</v>
      </c>
      <c r="L65" s="99">
        <f t="shared" si="22"/>
        <v>6.8976077857556065E-2</v>
      </c>
      <c r="M65" s="99">
        <f t="shared" si="22"/>
        <v>8.4391057270221531E-2</v>
      </c>
      <c r="N65" s="99">
        <f>SUM(B65:M65)</f>
        <v>1.0000000000000002</v>
      </c>
    </row>
  </sheetData>
  <sheetProtection algorithmName="SHA-512" hashValue="6CIQa7b3DV6CDvoGo7XwXazIghCf/NTF5Qv0iSaHyVf6ehjmRh6Uj7vLjfCxDoiv4IW2a4BFa7M0qmEKcMPXbQ==" saltValue="RExm5bBZx2kOySR1MuY9Nw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091CB-82E3-4BF8-9387-0DC3937F32D1}">
  <sheetPr>
    <tabColor theme="1"/>
    <pageSetUpPr fitToPage="1"/>
  </sheetPr>
  <dimension ref="A1:P65"/>
  <sheetViews>
    <sheetView topLeftCell="A14" workbookViewId="0">
      <selection activeCell="I30" sqref="I30"/>
    </sheetView>
  </sheetViews>
  <sheetFormatPr defaultRowHeight="15" x14ac:dyDescent="0.25"/>
  <cols>
    <col min="1" max="13" width="12.7109375" customWidth="1"/>
    <col min="14" max="14" width="15.7109375" customWidth="1"/>
    <col min="16" max="16" width="10.42578125" bestFit="1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74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6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6" ht="15.75" x14ac:dyDescent="0.25">
      <c r="A25" s="49" t="s">
        <v>171</v>
      </c>
      <c r="B25" s="1">
        <v>234</v>
      </c>
      <c r="C25" s="1">
        <v>214</v>
      </c>
      <c r="D25" s="203">
        <v>207</v>
      </c>
      <c r="E25" s="111">
        <f t="shared" ref="E25:M25" si="0">SUM(E39)</f>
        <v>179.05549999999999</v>
      </c>
      <c r="F25" s="111">
        <f t="shared" si="0"/>
        <v>147.19900000000001</v>
      </c>
      <c r="G25" s="111">
        <f t="shared" si="0"/>
        <v>170.26750000000001</v>
      </c>
      <c r="H25" s="111">
        <f t="shared" si="0"/>
        <v>163.6765</v>
      </c>
      <c r="I25" s="111">
        <f t="shared" si="0"/>
        <v>228.488</v>
      </c>
      <c r="J25" s="111">
        <f t="shared" si="0"/>
        <v>209.8135</v>
      </c>
      <c r="K25" s="111">
        <f t="shared" si="0"/>
        <v>275.7235</v>
      </c>
      <c r="L25" s="111">
        <f t="shared" si="0"/>
        <v>263.64000000000004</v>
      </c>
      <c r="M25" s="111">
        <f t="shared" si="0"/>
        <v>257.04899999999998</v>
      </c>
      <c r="N25" s="200">
        <f>SUM(B25:M25)</f>
        <v>2549.9124999999999</v>
      </c>
      <c r="O25" s="122">
        <f>SUM(N25-N26)</f>
        <v>196.91249999999991</v>
      </c>
      <c r="P25" s="123">
        <f>SUM(O25/N26)</f>
        <v>8.3685720356991039E-2</v>
      </c>
    </row>
    <row r="26" spans="1:16" ht="15.75" x14ac:dyDescent="0.25">
      <c r="A26" s="49" t="s">
        <v>61</v>
      </c>
      <c r="B26" s="1">
        <v>221</v>
      </c>
      <c r="C26" s="1">
        <v>235</v>
      </c>
      <c r="D26" s="1">
        <v>172</v>
      </c>
      <c r="E26" s="1">
        <v>163</v>
      </c>
      <c r="F26" s="1">
        <v>134</v>
      </c>
      <c r="G26" s="1">
        <v>155</v>
      </c>
      <c r="H26" s="1">
        <v>149</v>
      </c>
      <c r="I26" s="1">
        <v>208</v>
      </c>
      <c r="J26" s="1">
        <v>191</v>
      </c>
      <c r="K26" s="1">
        <v>251</v>
      </c>
      <c r="L26" s="1">
        <v>240</v>
      </c>
      <c r="M26" s="201">
        <v>234</v>
      </c>
      <c r="N26" s="2">
        <f>SUM(B26:M26)</f>
        <v>2353</v>
      </c>
      <c r="O26" s="122">
        <f>SUM(N26-N27)</f>
        <v>211</v>
      </c>
      <c r="P26" s="123">
        <f>SUM(O26/N27)</f>
        <v>9.8506069094304385E-2</v>
      </c>
    </row>
    <row r="27" spans="1:16" ht="15.75" x14ac:dyDescent="0.25">
      <c r="A27" s="49" t="s">
        <v>34</v>
      </c>
      <c r="B27" s="1">
        <v>142</v>
      </c>
      <c r="C27" s="1">
        <v>206</v>
      </c>
      <c r="D27" s="1">
        <v>180</v>
      </c>
      <c r="E27" s="1">
        <v>199</v>
      </c>
      <c r="F27" s="1">
        <v>131</v>
      </c>
      <c r="G27" s="1">
        <v>134</v>
      </c>
      <c r="H27" s="1">
        <v>193</v>
      </c>
      <c r="I27" s="1">
        <v>131</v>
      </c>
      <c r="J27" s="1">
        <v>197</v>
      </c>
      <c r="K27" s="193">
        <v>186</v>
      </c>
      <c r="L27" s="1">
        <v>223</v>
      </c>
      <c r="M27" s="1">
        <v>220</v>
      </c>
      <c r="N27" s="2">
        <f t="shared" ref="N27:N29" si="1">SUM(B27:M27)</f>
        <v>2142</v>
      </c>
      <c r="O27" s="122">
        <f>SUM(N27-N28)</f>
        <v>1089</v>
      </c>
      <c r="P27" s="123">
        <f>SUM(O27/N28)</f>
        <v>1.0341880341880343</v>
      </c>
    </row>
    <row r="28" spans="1:16" ht="15.75" x14ac:dyDescent="0.25">
      <c r="A28" s="49" t="s">
        <v>31</v>
      </c>
      <c r="B28" s="115">
        <v>72</v>
      </c>
      <c r="C28" s="1">
        <v>59</v>
      </c>
      <c r="D28" s="1">
        <v>41</v>
      </c>
      <c r="E28" s="1">
        <v>113</v>
      </c>
      <c r="F28" s="1">
        <v>81</v>
      </c>
      <c r="G28" s="1">
        <v>82</v>
      </c>
      <c r="H28" s="1">
        <v>83</v>
      </c>
      <c r="I28" s="1">
        <v>82</v>
      </c>
      <c r="J28" s="73">
        <v>114</v>
      </c>
      <c r="K28" s="1">
        <v>93</v>
      </c>
      <c r="L28" s="1">
        <v>106</v>
      </c>
      <c r="M28" s="1">
        <v>127</v>
      </c>
      <c r="N28" s="2">
        <f t="shared" si="1"/>
        <v>1053</v>
      </c>
      <c r="O28" s="122"/>
      <c r="P28" s="128"/>
    </row>
    <row r="29" spans="1:16" ht="15.75" x14ac:dyDescent="0.25">
      <c r="A29" s="49" t="s">
        <v>14</v>
      </c>
      <c r="B29" s="74">
        <v>0</v>
      </c>
      <c r="C29" s="74">
        <v>0</v>
      </c>
      <c r="D29" s="74">
        <v>0</v>
      </c>
      <c r="E29" s="74">
        <v>0</v>
      </c>
      <c r="F29" s="74">
        <v>0</v>
      </c>
      <c r="G29" s="74">
        <v>0</v>
      </c>
      <c r="H29" s="74">
        <v>0</v>
      </c>
      <c r="I29" s="74">
        <v>0</v>
      </c>
      <c r="J29" s="116">
        <v>0</v>
      </c>
      <c r="K29" s="74">
        <v>0</v>
      </c>
      <c r="L29" s="74">
        <v>0</v>
      </c>
      <c r="M29" s="74">
        <v>0</v>
      </c>
      <c r="N29" s="127">
        <f t="shared" si="1"/>
        <v>0</v>
      </c>
      <c r="O29" s="124"/>
      <c r="P29" s="125"/>
    </row>
    <row r="31" spans="1:16" x14ac:dyDescent="0.25">
      <c r="A31" s="107" t="s">
        <v>63</v>
      </c>
    </row>
    <row r="32" spans="1:16" ht="15.75" x14ac:dyDescent="0.25">
      <c r="A32" s="114" t="s">
        <v>174</v>
      </c>
      <c r="B32" s="111"/>
      <c r="C32" s="111"/>
      <c r="D32" s="111"/>
      <c r="E32" s="111"/>
      <c r="F32" s="111"/>
      <c r="G32" s="111"/>
      <c r="H32" s="111"/>
    </row>
    <row r="33" spans="1:15" x14ac:dyDescent="0.25">
      <c r="A33" s="101" t="s">
        <v>61</v>
      </c>
      <c r="B33" s="96" t="s">
        <v>43</v>
      </c>
      <c r="C33" s="96" t="s">
        <v>44</v>
      </c>
      <c r="D33" s="96" t="s">
        <v>45</v>
      </c>
      <c r="E33" s="96" t="s">
        <v>46</v>
      </c>
      <c r="F33" s="96" t="s">
        <v>47</v>
      </c>
      <c r="G33" s="96" t="s">
        <v>48</v>
      </c>
      <c r="H33" s="96" t="s">
        <v>49</v>
      </c>
      <c r="I33" s="96" t="s">
        <v>50</v>
      </c>
      <c r="J33" s="96" t="s">
        <v>27</v>
      </c>
      <c r="K33" s="96" t="s">
        <v>51</v>
      </c>
      <c r="L33" s="96" t="s">
        <v>52</v>
      </c>
      <c r="M33" s="96" t="s">
        <v>53</v>
      </c>
      <c r="N33" s="97" t="s">
        <v>54</v>
      </c>
    </row>
    <row r="34" spans="1:15" hidden="1" x14ac:dyDescent="0.25">
      <c r="A34" s="3" t="s">
        <v>66</v>
      </c>
      <c r="B34" s="1">
        <f>SUM(N34)</f>
        <v>2549.9124999999999</v>
      </c>
      <c r="C34" s="1">
        <f t="shared" ref="C34" si="2">SUM(B34)</f>
        <v>2549.9124999999999</v>
      </c>
      <c r="D34" s="1">
        <f t="shared" ref="D34" si="3">SUM(C34)</f>
        <v>2549.9124999999999</v>
      </c>
      <c r="E34" s="1">
        <f t="shared" ref="E34" si="4">SUM(D34)</f>
        <v>2549.9124999999999</v>
      </c>
      <c r="F34" s="1">
        <f t="shared" ref="F34" si="5">SUM(E34)</f>
        <v>2549.9124999999999</v>
      </c>
      <c r="G34" s="1">
        <f t="shared" ref="G34" si="6">SUM(F34)</f>
        <v>2549.9124999999999</v>
      </c>
      <c r="H34" s="1">
        <f t="shared" ref="H34" si="7">SUM(G34)</f>
        <v>2549.9124999999999</v>
      </c>
      <c r="I34" s="1">
        <f t="shared" ref="I34" si="8">SUM(H34)</f>
        <v>2549.9124999999999</v>
      </c>
      <c r="J34" s="1">
        <f t="shared" ref="J34" si="9">SUM(I34)</f>
        <v>2549.9124999999999</v>
      </c>
      <c r="K34" s="1">
        <f t="shared" ref="K34" si="10">SUM(J34)</f>
        <v>2549.9124999999999</v>
      </c>
      <c r="L34" s="1">
        <f t="shared" ref="L34" si="11">SUM(K34)</f>
        <v>2549.9124999999999</v>
      </c>
      <c r="M34" s="1">
        <f t="shared" ref="M34" si="12">SUM(L34)</f>
        <v>2549.9124999999999</v>
      </c>
      <c r="N34" s="1">
        <f>SUM(N25)</f>
        <v>2549.9124999999999</v>
      </c>
    </row>
    <row r="35" spans="1:15" x14ac:dyDescent="0.25">
      <c r="A35" s="3" t="s">
        <v>67</v>
      </c>
      <c r="B35" s="1">
        <f>SUM(B25)</f>
        <v>234</v>
      </c>
      <c r="C35" s="1">
        <f t="shared" ref="C35:M35" si="13">SUM(C25)</f>
        <v>214</v>
      </c>
      <c r="D35" s="1">
        <f t="shared" si="13"/>
        <v>207</v>
      </c>
      <c r="E35" s="1">
        <f t="shared" si="13"/>
        <v>179.05549999999999</v>
      </c>
      <c r="F35" s="1">
        <f t="shared" si="13"/>
        <v>147.19900000000001</v>
      </c>
      <c r="G35" s="1">
        <f t="shared" si="13"/>
        <v>170.26750000000001</v>
      </c>
      <c r="H35" s="1">
        <f t="shared" si="13"/>
        <v>163.6765</v>
      </c>
      <c r="I35" s="1">
        <f t="shared" si="13"/>
        <v>228.488</v>
      </c>
      <c r="J35" s="1">
        <f t="shared" si="13"/>
        <v>209.8135</v>
      </c>
      <c r="K35" s="1">
        <f t="shared" si="13"/>
        <v>275.7235</v>
      </c>
      <c r="L35" s="1">
        <f t="shared" si="13"/>
        <v>263.64000000000004</v>
      </c>
      <c r="M35" s="1">
        <f t="shared" si="13"/>
        <v>257.04899999999998</v>
      </c>
      <c r="N35" s="1">
        <f>SUM(B35:M35)</f>
        <v>2549.9124999999999</v>
      </c>
    </row>
    <row r="36" spans="1:15" x14ac:dyDescent="0.25">
      <c r="A36" s="3" t="s">
        <v>65</v>
      </c>
      <c r="B36" s="99">
        <f>SUM(B35/B34)</f>
        <v>9.1767854779330665E-2</v>
      </c>
      <c r="C36" s="99">
        <f t="shared" ref="C36:M36" si="14">SUM(C35/C34)</f>
        <v>8.3924448387934877E-2</v>
      </c>
      <c r="D36" s="99">
        <f t="shared" si="14"/>
        <v>8.1179256150946358E-2</v>
      </c>
      <c r="E36" s="99">
        <f t="shared" si="14"/>
        <v>7.0220252655728385E-2</v>
      </c>
      <c r="F36" s="99">
        <f t="shared" si="14"/>
        <v>5.7727078870353402E-2</v>
      </c>
      <c r="G36" s="99">
        <f t="shared" si="14"/>
        <v>6.6773859887349088E-2</v>
      </c>
      <c r="H36" s="99">
        <f t="shared" si="14"/>
        <v>6.4189065311064594E-2</v>
      </c>
      <c r="I36" s="99">
        <f t="shared" si="14"/>
        <v>8.9606211977861991E-2</v>
      </c>
      <c r="J36" s="99">
        <f t="shared" si="14"/>
        <v>8.2282627345055967E-2</v>
      </c>
      <c r="K36" s="99">
        <f t="shared" si="14"/>
        <v>0.10813057310790077</v>
      </c>
      <c r="L36" s="99">
        <f t="shared" si="14"/>
        <v>0.10339178305137924</v>
      </c>
      <c r="M36" s="99">
        <f t="shared" si="14"/>
        <v>0.10080698847509473</v>
      </c>
      <c r="N36" s="99">
        <f>SUM(B36:M36)</f>
        <v>1</v>
      </c>
      <c r="O36" s="101" t="s">
        <v>56</v>
      </c>
    </row>
    <row r="37" spans="1:15" x14ac:dyDescent="0.25">
      <c r="A37" s="109" t="s">
        <v>69</v>
      </c>
      <c r="B37" s="102">
        <f t="shared" ref="B37:N37" si="15">SUM(B35-B43)/B43</f>
        <v>5.8823529411764705E-2</v>
      </c>
      <c r="C37" s="102">
        <f t="shared" si="15"/>
        <v>-8.9361702127659579E-2</v>
      </c>
      <c r="D37" s="102">
        <f t="shared" si="15"/>
        <v>0.20348837209302326</v>
      </c>
      <c r="E37" s="102">
        <f t="shared" si="15"/>
        <v>9.8499999999999963E-2</v>
      </c>
      <c r="F37" s="102">
        <f t="shared" si="15"/>
        <v>9.8500000000000087E-2</v>
      </c>
      <c r="G37" s="102">
        <f t="shared" si="15"/>
        <v>9.8500000000000087E-2</v>
      </c>
      <c r="H37" s="102">
        <f t="shared" si="15"/>
        <v>9.8500000000000032E-2</v>
      </c>
      <c r="I37" s="102">
        <f t="shared" si="15"/>
        <v>9.8500000000000004E-2</v>
      </c>
      <c r="J37" s="102">
        <f t="shared" si="15"/>
        <v>9.8500000000000018E-2</v>
      </c>
      <c r="K37" s="102">
        <f t="shared" si="15"/>
        <v>9.8500000000000004E-2</v>
      </c>
      <c r="L37" s="102">
        <f t="shared" si="15"/>
        <v>9.8500000000000185E-2</v>
      </c>
      <c r="M37" s="102">
        <f t="shared" si="15"/>
        <v>9.8499999999999907E-2</v>
      </c>
      <c r="N37" s="102">
        <f t="shared" si="15"/>
        <v>8.3685720356991039E-2</v>
      </c>
      <c r="O37" s="110">
        <f>SUM(O25)</f>
        <v>196.91249999999991</v>
      </c>
    </row>
    <row r="38" spans="1:15" hidden="1" x14ac:dyDescent="0.25">
      <c r="A38" s="205" t="s">
        <v>181</v>
      </c>
      <c r="B38" s="111">
        <f>SUM(N26*1.0985)</f>
        <v>2584.7705000000001</v>
      </c>
      <c r="C38" s="111">
        <f>SUM(B38)</f>
        <v>2584.7705000000001</v>
      </c>
      <c r="D38" s="111">
        <f t="shared" ref="D38:N38" si="16">SUM(C38)</f>
        <v>2584.7705000000001</v>
      </c>
      <c r="E38" s="111">
        <f t="shared" si="16"/>
        <v>2584.7705000000001</v>
      </c>
      <c r="F38" s="111">
        <f t="shared" si="16"/>
        <v>2584.7705000000001</v>
      </c>
      <c r="G38" s="111">
        <f t="shared" si="16"/>
        <v>2584.7705000000001</v>
      </c>
      <c r="H38" s="111">
        <f t="shared" si="16"/>
        <v>2584.7705000000001</v>
      </c>
      <c r="I38" s="111">
        <f t="shared" si="16"/>
        <v>2584.7705000000001</v>
      </c>
      <c r="J38" s="111">
        <f t="shared" si="16"/>
        <v>2584.7705000000001</v>
      </c>
      <c r="K38" s="111">
        <f t="shared" si="16"/>
        <v>2584.7705000000001</v>
      </c>
      <c r="L38" s="111">
        <f t="shared" si="16"/>
        <v>2584.7705000000001</v>
      </c>
      <c r="M38" s="111">
        <f t="shared" si="16"/>
        <v>2584.7705000000001</v>
      </c>
      <c r="N38" s="111">
        <f t="shared" si="16"/>
        <v>2584.7705000000001</v>
      </c>
    </row>
    <row r="39" spans="1:15" x14ac:dyDescent="0.25">
      <c r="A39" s="204" t="s">
        <v>180</v>
      </c>
      <c r="B39" s="111">
        <f>SUM(B38*B44)</f>
        <v>242.76849999999999</v>
      </c>
      <c r="C39" s="111">
        <f t="shared" ref="C39:M39" si="17">SUM(C38*C44)</f>
        <v>258.14750000000004</v>
      </c>
      <c r="D39" s="111">
        <f t="shared" si="17"/>
        <v>188.94200000000001</v>
      </c>
      <c r="E39" s="111">
        <f t="shared" si="17"/>
        <v>179.05549999999999</v>
      </c>
      <c r="F39" s="111">
        <f t="shared" si="17"/>
        <v>147.19900000000001</v>
      </c>
      <c r="G39" s="111">
        <f t="shared" si="17"/>
        <v>170.26750000000001</v>
      </c>
      <c r="H39" s="111">
        <f t="shared" si="17"/>
        <v>163.6765</v>
      </c>
      <c r="I39" s="111">
        <f t="shared" si="17"/>
        <v>228.488</v>
      </c>
      <c r="J39" s="111">
        <f t="shared" si="17"/>
        <v>209.8135</v>
      </c>
      <c r="K39" s="111">
        <f t="shared" si="17"/>
        <v>275.7235</v>
      </c>
      <c r="L39" s="111">
        <f t="shared" si="17"/>
        <v>263.64000000000004</v>
      </c>
      <c r="M39" s="111">
        <f t="shared" si="17"/>
        <v>257.04899999999998</v>
      </c>
      <c r="N39" s="111">
        <f>SUM(B39:M39)</f>
        <v>2584.7705000000001</v>
      </c>
    </row>
    <row r="40" spans="1:15" ht="15.75" x14ac:dyDescent="0.25">
      <c r="A40" s="98" t="s">
        <v>173</v>
      </c>
      <c r="B40" s="1"/>
      <c r="C40" s="1"/>
      <c r="D40" s="1"/>
      <c r="E40" s="1"/>
      <c r="F40" s="1"/>
      <c r="G40" s="1"/>
      <c r="H40" s="1"/>
    </row>
    <row r="41" spans="1:15" x14ac:dyDescent="0.25">
      <c r="A41" s="101" t="s">
        <v>61</v>
      </c>
      <c r="B41" s="96" t="s">
        <v>43</v>
      </c>
      <c r="C41" s="96" t="s">
        <v>44</v>
      </c>
      <c r="D41" s="96" t="s">
        <v>45</v>
      </c>
      <c r="E41" s="96" t="s">
        <v>46</v>
      </c>
      <c r="F41" s="96" t="s">
        <v>47</v>
      </c>
      <c r="G41" s="96" t="s">
        <v>48</v>
      </c>
      <c r="H41" s="96" t="s">
        <v>49</v>
      </c>
      <c r="I41" s="96" t="s">
        <v>50</v>
      </c>
      <c r="J41" s="96" t="s">
        <v>27</v>
      </c>
      <c r="K41" s="96" t="s">
        <v>51</v>
      </c>
      <c r="L41" s="96" t="s">
        <v>52</v>
      </c>
      <c r="M41" s="96" t="s">
        <v>53</v>
      </c>
      <c r="N41" s="97" t="s">
        <v>54</v>
      </c>
    </row>
    <row r="42" spans="1:15" hidden="1" x14ac:dyDescent="0.25">
      <c r="A42" s="3" t="s">
        <v>66</v>
      </c>
      <c r="B42" s="1">
        <f>SUM(N42)</f>
        <v>2353</v>
      </c>
      <c r="C42" s="1">
        <f t="shared" ref="C42:M42" si="18">SUM(B42)</f>
        <v>2353</v>
      </c>
      <c r="D42" s="1">
        <f t="shared" si="18"/>
        <v>2353</v>
      </c>
      <c r="E42" s="1">
        <f t="shared" si="18"/>
        <v>2353</v>
      </c>
      <c r="F42" s="1">
        <f t="shared" si="18"/>
        <v>2353</v>
      </c>
      <c r="G42" s="1">
        <f t="shared" si="18"/>
        <v>2353</v>
      </c>
      <c r="H42" s="1">
        <f t="shared" si="18"/>
        <v>2353</v>
      </c>
      <c r="I42" s="1">
        <f t="shared" si="18"/>
        <v>2353</v>
      </c>
      <c r="J42" s="1">
        <f t="shared" si="18"/>
        <v>2353</v>
      </c>
      <c r="K42" s="1">
        <f t="shared" si="18"/>
        <v>2353</v>
      </c>
      <c r="L42" s="1">
        <f t="shared" si="18"/>
        <v>2353</v>
      </c>
      <c r="M42" s="1">
        <f t="shared" si="18"/>
        <v>2353</v>
      </c>
      <c r="N42" s="1">
        <f>SUM(N26)</f>
        <v>2353</v>
      </c>
    </row>
    <row r="43" spans="1:15" x14ac:dyDescent="0.25">
      <c r="A43" s="3" t="s">
        <v>67</v>
      </c>
      <c r="B43" s="1">
        <f t="shared" ref="B43:M43" si="19">SUM(B26)</f>
        <v>221</v>
      </c>
      <c r="C43" s="1">
        <f t="shared" si="19"/>
        <v>235</v>
      </c>
      <c r="D43" s="1">
        <f t="shared" si="19"/>
        <v>172</v>
      </c>
      <c r="E43" s="1">
        <f t="shared" si="19"/>
        <v>163</v>
      </c>
      <c r="F43" s="1">
        <f t="shared" si="19"/>
        <v>134</v>
      </c>
      <c r="G43" s="1">
        <f t="shared" si="19"/>
        <v>155</v>
      </c>
      <c r="H43" s="1">
        <f t="shared" si="19"/>
        <v>149</v>
      </c>
      <c r="I43" s="1">
        <f t="shared" si="19"/>
        <v>208</v>
      </c>
      <c r="J43" s="1">
        <f t="shared" si="19"/>
        <v>191</v>
      </c>
      <c r="K43" s="1">
        <f t="shared" si="19"/>
        <v>251</v>
      </c>
      <c r="L43" s="1">
        <f t="shared" si="19"/>
        <v>240</v>
      </c>
      <c r="M43" s="1">
        <f t="shared" si="19"/>
        <v>234</v>
      </c>
      <c r="N43" s="1">
        <f>SUM(B43:M43)</f>
        <v>2353</v>
      </c>
    </row>
    <row r="44" spans="1:15" x14ac:dyDescent="0.25">
      <c r="A44" s="3" t="s">
        <v>65</v>
      </c>
      <c r="B44" s="99">
        <f>SUM(B43/B42)</f>
        <v>9.3922651933701654E-2</v>
      </c>
      <c r="C44" s="99">
        <f t="shared" ref="C44:M44" si="20">SUM(C43/C42)</f>
        <v>9.9872503187420317E-2</v>
      </c>
      <c r="D44" s="99">
        <f t="shared" si="20"/>
        <v>7.309817254568636E-2</v>
      </c>
      <c r="E44" s="99">
        <f t="shared" si="20"/>
        <v>6.9273268168295793E-2</v>
      </c>
      <c r="F44" s="99">
        <f t="shared" si="20"/>
        <v>5.6948576285592863E-2</v>
      </c>
      <c r="G44" s="99">
        <f t="shared" si="20"/>
        <v>6.587335316617085E-2</v>
      </c>
      <c r="H44" s="99">
        <f t="shared" si="20"/>
        <v>6.332341691457713E-2</v>
      </c>
      <c r="I44" s="99">
        <f t="shared" si="20"/>
        <v>8.8397790055248615E-2</v>
      </c>
      <c r="J44" s="99">
        <f t="shared" si="20"/>
        <v>8.1172970675733105E-2</v>
      </c>
      <c r="K44" s="99">
        <f t="shared" si="20"/>
        <v>0.1066723331916702</v>
      </c>
      <c r="L44" s="99">
        <f t="shared" si="20"/>
        <v>0.10199745006374841</v>
      </c>
      <c r="M44" s="99">
        <f t="shared" si="20"/>
        <v>9.9447513812154692E-2</v>
      </c>
      <c r="N44" s="99">
        <f>SUM(B44:M44)</f>
        <v>1</v>
      </c>
      <c r="O44" s="101" t="s">
        <v>56</v>
      </c>
    </row>
    <row r="45" spans="1:15" x14ac:dyDescent="0.25">
      <c r="A45" s="109" t="s">
        <v>69</v>
      </c>
      <c r="B45" s="102">
        <f t="shared" ref="B45:N45" si="21">SUM(B43-B50)/B50</f>
        <v>0.55633802816901412</v>
      </c>
      <c r="C45" s="102">
        <f t="shared" si="21"/>
        <v>0.14077669902912621</v>
      </c>
      <c r="D45" s="102">
        <f t="shared" si="21"/>
        <v>-4.4444444444444446E-2</v>
      </c>
      <c r="E45" s="102">
        <f t="shared" si="21"/>
        <v>-0.18090452261306533</v>
      </c>
      <c r="F45" s="102">
        <f t="shared" si="21"/>
        <v>2.2900763358778626E-2</v>
      </c>
      <c r="G45" s="102">
        <f t="shared" si="21"/>
        <v>0.15671641791044777</v>
      </c>
      <c r="H45" s="102">
        <f t="shared" si="21"/>
        <v>-0.22797927461139897</v>
      </c>
      <c r="I45" s="102">
        <f t="shared" si="21"/>
        <v>0.58778625954198471</v>
      </c>
      <c r="J45" s="102">
        <f t="shared" si="21"/>
        <v>-3.0456852791878174E-2</v>
      </c>
      <c r="K45" s="102">
        <f t="shared" si="21"/>
        <v>0.34946236559139787</v>
      </c>
      <c r="L45" s="102">
        <f t="shared" si="21"/>
        <v>7.623318385650224E-2</v>
      </c>
      <c r="M45" s="102">
        <f t="shared" si="21"/>
        <v>6.363636363636363E-2</v>
      </c>
      <c r="N45" s="102">
        <f t="shared" si="21"/>
        <v>9.8506069094304385E-2</v>
      </c>
      <c r="O45" s="110">
        <f>SUM(N43-N50)</f>
        <v>211</v>
      </c>
    </row>
    <row r="47" spans="1:15" ht="15.75" x14ac:dyDescent="0.25">
      <c r="A47" s="98" t="s">
        <v>64</v>
      </c>
    </row>
    <row r="48" spans="1:15" x14ac:dyDescent="0.25">
      <c r="A48" s="101" t="s">
        <v>34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2142</v>
      </c>
      <c r="C49" s="1">
        <f t="shared" ref="C49:M49" si="22">SUM(B49)</f>
        <v>2142</v>
      </c>
      <c r="D49" s="1">
        <f t="shared" si="22"/>
        <v>2142</v>
      </c>
      <c r="E49" s="1">
        <f t="shared" si="22"/>
        <v>2142</v>
      </c>
      <c r="F49" s="1">
        <f t="shared" si="22"/>
        <v>2142</v>
      </c>
      <c r="G49" s="1">
        <f t="shared" si="22"/>
        <v>2142</v>
      </c>
      <c r="H49" s="1">
        <f t="shared" si="22"/>
        <v>2142</v>
      </c>
      <c r="I49" s="1">
        <f t="shared" si="22"/>
        <v>2142</v>
      </c>
      <c r="J49" s="1">
        <f t="shared" si="22"/>
        <v>2142</v>
      </c>
      <c r="K49" s="1">
        <f t="shared" si="22"/>
        <v>2142</v>
      </c>
      <c r="L49" s="1">
        <f t="shared" si="22"/>
        <v>2142</v>
      </c>
      <c r="M49" s="1">
        <f t="shared" si="22"/>
        <v>2142</v>
      </c>
      <c r="N49" s="1">
        <f>SUM(N27)</f>
        <v>2142</v>
      </c>
    </row>
    <row r="50" spans="1:15" x14ac:dyDescent="0.25">
      <c r="A50" s="3" t="s">
        <v>67</v>
      </c>
      <c r="B50" s="1">
        <f t="shared" ref="B50:M50" si="23">SUM(B27)</f>
        <v>142</v>
      </c>
      <c r="C50" s="1">
        <f t="shared" si="23"/>
        <v>206</v>
      </c>
      <c r="D50" s="1">
        <f t="shared" si="23"/>
        <v>180</v>
      </c>
      <c r="E50" s="1">
        <f t="shared" si="23"/>
        <v>199</v>
      </c>
      <c r="F50" s="1">
        <f t="shared" si="23"/>
        <v>131</v>
      </c>
      <c r="G50" s="1">
        <f t="shared" si="23"/>
        <v>134</v>
      </c>
      <c r="H50" s="1">
        <f t="shared" si="23"/>
        <v>193</v>
      </c>
      <c r="I50" s="1">
        <f t="shared" si="23"/>
        <v>131</v>
      </c>
      <c r="J50" s="1">
        <f t="shared" si="23"/>
        <v>197</v>
      </c>
      <c r="K50" s="1">
        <f t="shared" si="23"/>
        <v>186</v>
      </c>
      <c r="L50" s="1">
        <f t="shared" si="23"/>
        <v>223</v>
      </c>
      <c r="M50" s="1">
        <f t="shared" si="23"/>
        <v>220</v>
      </c>
      <c r="N50" s="1">
        <f>SUM(B50:M50)</f>
        <v>2142</v>
      </c>
    </row>
    <row r="51" spans="1:15" x14ac:dyDescent="0.25">
      <c r="A51" s="3" t="s">
        <v>65</v>
      </c>
      <c r="B51" s="99">
        <f>SUM(B50/B49)</f>
        <v>6.6293183940242764E-2</v>
      </c>
      <c r="C51" s="99">
        <f t="shared" ref="C51:M51" si="24">SUM(C50/C49)</f>
        <v>9.6171802054155001E-2</v>
      </c>
      <c r="D51" s="99">
        <f t="shared" si="24"/>
        <v>8.4033613445378158E-2</v>
      </c>
      <c r="E51" s="99">
        <f t="shared" si="24"/>
        <v>9.2903828197945848E-2</v>
      </c>
      <c r="F51" s="99">
        <f t="shared" si="24"/>
        <v>6.1157796451914097E-2</v>
      </c>
      <c r="G51" s="99">
        <f t="shared" si="24"/>
        <v>6.2558356676003735E-2</v>
      </c>
      <c r="H51" s="99">
        <f t="shared" si="24"/>
        <v>9.0102707749766572E-2</v>
      </c>
      <c r="I51" s="99">
        <f t="shared" si="24"/>
        <v>6.1157796451914097E-2</v>
      </c>
      <c r="J51" s="99">
        <f t="shared" si="24"/>
        <v>9.1970121381886094E-2</v>
      </c>
      <c r="K51" s="99">
        <f t="shared" si="24"/>
        <v>8.683473389355742E-2</v>
      </c>
      <c r="L51" s="99">
        <f t="shared" si="24"/>
        <v>0.10410830999066294</v>
      </c>
      <c r="M51" s="99">
        <f t="shared" si="24"/>
        <v>0.10270774976657329</v>
      </c>
      <c r="N51" s="99">
        <f>SUM(B51:M51)</f>
        <v>1</v>
      </c>
      <c r="O51" s="101" t="s">
        <v>56</v>
      </c>
    </row>
    <row r="52" spans="1:15" x14ac:dyDescent="0.25">
      <c r="A52" s="109" t="s">
        <v>69</v>
      </c>
      <c r="B52" s="102">
        <f t="shared" ref="B52:N52" si="25">SUM(B50-B57)/B57</f>
        <v>0.97222222222222221</v>
      </c>
      <c r="C52" s="102">
        <f t="shared" si="25"/>
        <v>2.4915254237288136</v>
      </c>
      <c r="D52" s="102">
        <f t="shared" si="25"/>
        <v>3.3902439024390243</v>
      </c>
      <c r="E52" s="102">
        <f t="shared" si="25"/>
        <v>0.76106194690265483</v>
      </c>
      <c r="F52" s="102">
        <f t="shared" si="25"/>
        <v>0.61728395061728392</v>
      </c>
      <c r="G52" s="102">
        <f t="shared" si="25"/>
        <v>0.63414634146341464</v>
      </c>
      <c r="H52" s="102">
        <f t="shared" si="25"/>
        <v>1.3253012048192772</v>
      </c>
      <c r="I52" s="102">
        <f t="shared" si="25"/>
        <v>0.59756097560975607</v>
      </c>
      <c r="J52" s="102">
        <f t="shared" si="25"/>
        <v>0.72807017543859653</v>
      </c>
      <c r="K52" s="102">
        <f t="shared" si="25"/>
        <v>1</v>
      </c>
      <c r="L52" s="102">
        <f t="shared" si="25"/>
        <v>1.1037735849056605</v>
      </c>
      <c r="M52" s="102">
        <f t="shared" si="25"/>
        <v>0.73228346456692917</v>
      </c>
      <c r="N52" s="102">
        <f t="shared" si="25"/>
        <v>1.0341880341880343</v>
      </c>
      <c r="O52" s="110">
        <f>SUM(N50-N57)</f>
        <v>1089</v>
      </c>
    </row>
    <row r="54" spans="1:15" x14ac:dyDescent="0.25">
      <c r="A54" s="108" t="s">
        <v>79</v>
      </c>
    </row>
    <row r="55" spans="1:15" x14ac:dyDescent="0.25">
      <c r="A55" s="101" t="s">
        <v>31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3" t="s">
        <v>66</v>
      </c>
      <c r="B56" s="1">
        <f>SUM(N56)</f>
        <v>1053</v>
      </c>
      <c r="C56" s="1">
        <f t="shared" ref="C56:M56" si="26">SUM(B56)</f>
        <v>1053</v>
      </c>
      <c r="D56" s="1">
        <f t="shared" si="26"/>
        <v>1053</v>
      </c>
      <c r="E56" s="1">
        <f t="shared" si="26"/>
        <v>1053</v>
      </c>
      <c r="F56" s="1">
        <f t="shared" si="26"/>
        <v>1053</v>
      </c>
      <c r="G56" s="1">
        <f t="shared" si="26"/>
        <v>1053</v>
      </c>
      <c r="H56" s="1">
        <f t="shared" si="26"/>
        <v>1053</v>
      </c>
      <c r="I56" s="1">
        <f t="shared" si="26"/>
        <v>1053</v>
      </c>
      <c r="J56" s="1">
        <f t="shared" si="26"/>
        <v>1053</v>
      </c>
      <c r="K56" s="1">
        <f t="shared" si="26"/>
        <v>1053</v>
      </c>
      <c r="L56" s="1">
        <f t="shared" si="26"/>
        <v>1053</v>
      </c>
      <c r="M56" s="1">
        <f t="shared" si="26"/>
        <v>1053</v>
      </c>
      <c r="N56" s="1">
        <f>SUM(N28)</f>
        <v>1053</v>
      </c>
    </row>
    <row r="57" spans="1:15" x14ac:dyDescent="0.25">
      <c r="A57" s="3" t="s">
        <v>67</v>
      </c>
      <c r="B57" s="1">
        <f t="shared" ref="B57:M57" si="27">SUM(B28)</f>
        <v>72</v>
      </c>
      <c r="C57" s="1">
        <f t="shared" si="27"/>
        <v>59</v>
      </c>
      <c r="D57" s="1">
        <f t="shared" si="27"/>
        <v>41</v>
      </c>
      <c r="E57" s="1">
        <f t="shared" si="27"/>
        <v>113</v>
      </c>
      <c r="F57" s="1">
        <f t="shared" si="27"/>
        <v>81</v>
      </c>
      <c r="G57" s="1">
        <f t="shared" si="27"/>
        <v>82</v>
      </c>
      <c r="H57" s="1">
        <f t="shared" si="27"/>
        <v>83</v>
      </c>
      <c r="I57" s="1">
        <f t="shared" si="27"/>
        <v>82</v>
      </c>
      <c r="J57" s="1">
        <f t="shared" si="27"/>
        <v>114</v>
      </c>
      <c r="K57" s="1">
        <f t="shared" si="27"/>
        <v>93</v>
      </c>
      <c r="L57" s="1">
        <f t="shared" si="27"/>
        <v>106</v>
      </c>
      <c r="M57" s="1">
        <f t="shared" si="27"/>
        <v>127</v>
      </c>
      <c r="N57" s="1">
        <f>SUM(B57:M57)</f>
        <v>1053</v>
      </c>
    </row>
    <row r="58" spans="1:15" x14ac:dyDescent="0.25">
      <c r="A58" s="3" t="s">
        <v>65</v>
      </c>
      <c r="B58" s="99">
        <f>SUM(B57/B56)</f>
        <v>6.8376068376068383E-2</v>
      </c>
      <c r="C58" s="99">
        <f t="shared" ref="C58:M58" si="28">SUM(C57/C56)</f>
        <v>5.6030389363722698E-2</v>
      </c>
      <c r="D58" s="99">
        <f t="shared" si="28"/>
        <v>3.8936372269705602E-2</v>
      </c>
      <c r="E58" s="99">
        <f t="shared" si="28"/>
        <v>0.10731244064577398</v>
      </c>
      <c r="F58" s="99">
        <f t="shared" si="28"/>
        <v>7.6923076923076927E-2</v>
      </c>
      <c r="G58" s="99">
        <f t="shared" si="28"/>
        <v>7.7872744539411204E-2</v>
      </c>
      <c r="H58" s="99">
        <f t="shared" si="28"/>
        <v>7.8822412155745494E-2</v>
      </c>
      <c r="I58" s="99">
        <f t="shared" si="28"/>
        <v>7.7872744539411204E-2</v>
      </c>
      <c r="J58" s="99">
        <f t="shared" si="28"/>
        <v>0.10826210826210826</v>
      </c>
      <c r="K58" s="99">
        <f t="shared" si="28"/>
        <v>8.8319088319088315E-2</v>
      </c>
      <c r="L58" s="99">
        <f t="shared" si="28"/>
        <v>0.10066476733143399</v>
      </c>
      <c r="M58" s="99">
        <f t="shared" si="28"/>
        <v>0.12060778727445394</v>
      </c>
      <c r="N58" s="99">
        <f>SUM(B58:M58)</f>
        <v>1</v>
      </c>
      <c r="O58" s="101" t="s">
        <v>56</v>
      </c>
    </row>
    <row r="59" spans="1:15" x14ac:dyDescent="0.25">
      <c r="A59" s="109" t="s">
        <v>69</v>
      </c>
      <c r="B59" s="102">
        <f>SUM(B57-B64)/B57</f>
        <v>1</v>
      </c>
      <c r="C59" s="102">
        <f t="shared" ref="C59:N59" si="29">SUM(C57-C64)/C57</f>
        <v>1</v>
      </c>
      <c r="D59" s="102">
        <f t="shared" si="29"/>
        <v>1</v>
      </c>
      <c r="E59" s="102">
        <f t="shared" si="29"/>
        <v>1</v>
      </c>
      <c r="F59" s="102">
        <f t="shared" si="29"/>
        <v>1</v>
      </c>
      <c r="G59" s="102">
        <f t="shared" si="29"/>
        <v>1</v>
      </c>
      <c r="H59" s="102">
        <f t="shared" si="29"/>
        <v>1</v>
      </c>
      <c r="I59" s="102">
        <f t="shared" si="29"/>
        <v>1</v>
      </c>
      <c r="J59" s="102">
        <f t="shared" si="29"/>
        <v>1</v>
      </c>
      <c r="K59" s="102">
        <f t="shared" si="29"/>
        <v>1</v>
      </c>
      <c r="L59" s="102">
        <f t="shared" si="29"/>
        <v>1</v>
      </c>
      <c r="M59" s="102">
        <f t="shared" si="29"/>
        <v>1</v>
      </c>
      <c r="N59" s="102">
        <f t="shared" si="29"/>
        <v>1</v>
      </c>
      <c r="O59" s="110">
        <f>SUM(N57-N64)</f>
        <v>1053</v>
      </c>
    </row>
    <row r="61" spans="1:15" hidden="1" x14ac:dyDescent="0.25">
      <c r="A61" s="108" t="s">
        <v>68</v>
      </c>
    </row>
    <row r="62" spans="1:15" hidden="1" x14ac:dyDescent="0.25">
      <c r="A62" s="101" t="s">
        <v>14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3" t="s">
        <v>66</v>
      </c>
      <c r="B63" s="1">
        <f>SUM(N63)</f>
        <v>0</v>
      </c>
      <c r="C63" s="1">
        <f t="shared" ref="C63:M63" si="30">SUM(B63)</f>
        <v>0</v>
      </c>
      <c r="D63" s="1">
        <f t="shared" si="30"/>
        <v>0</v>
      </c>
      <c r="E63" s="1">
        <f t="shared" si="30"/>
        <v>0</v>
      </c>
      <c r="F63" s="1">
        <f t="shared" si="30"/>
        <v>0</v>
      </c>
      <c r="G63" s="1">
        <f t="shared" si="30"/>
        <v>0</v>
      </c>
      <c r="H63" s="1">
        <f t="shared" si="30"/>
        <v>0</v>
      </c>
      <c r="I63" s="1">
        <f t="shared" si="30"/>
        <v>0</v>
      </c>
      <c r="J63" s="1">
        <f t="shared" si="30"/>
        <v>0</v>
      </c>
      <c r="K63" s="1">
        <f t="shared" si="30"/>
        <v>0</v>
      </c>
      <c r="L63" s="1">
        <f t="shared" si="30"/>
        <v>0</v>
      </c>
      <c r="M63" s="1">
        <f t="shared" si="30"/>
        <v>0</v>
      </c>
      <c r="N63" s="1">
        <f>SUM(N29)</f>
        <v>0</v>
      </c>
    </row>
    <row r="64" spans="1:15" hidden="1" x14ac:dyDescent="0.25">
      <c r="A64" s="3" t="s">
        <v>67</v>
      </c>
      <c r="B64" s="1">
        <f t="shared" ref="B64:M64" si="31">SUM(B29)</f>
        <v>0</v>
      </c>
      <c r="C64" s="1">
        <f t="shared" si="31"/>
        <v>0</v>
      </c>
      <c r="D64" s="1">
        <f t="shared" si="31"/>
        <v>0</v>
      </c>
      <c r="E64" s="1">
        <f t="shared" si="31"/>
        <v>0</v>
      </c>
      <c r="F64" s="1">
        <f t="shared" si="31"/>
        <v>0</v>
      </c>
      <c r="G64" s="1">
        <f t="shared" si="31"/>
        <v>0</v>
      </c>
      <c r="H64" s="1">
        <f t="shared" si="31"/>
        <v>0</v>
      </c>
      <c r="I64" s="1">
        <f t="shared" si="31"/>
        <v>0</v>
      </c>
      <c r="J64" s="1">
        <f t="shared" si="31"/>
        <v>0</v>
      </c>
      <c r="K64" s="1">
        <f t="shared" si="31"/>
        <v>0</v>
      </c>
      <c r="L64" s="1">
        <f t="shared" si="31"/>
        <v>0</v>
      </c>
      <c r="M64" s="1">
        <f t="shared" si="31"/>
        <v>0</v>
      </c>
      <c r="N64" s="1">
        <f>SUM(B64:M64)</f>
        <v>0</v>
      </c>
    </row>
    <row r="65" spans="1:14" hidden="1" x14ac:dyDescent="0.25">
      <c r="A65" s="3" t="s">
        <v>65</v>
      </c>
      <c r="B65" s="99" t="e">
        <f>SUM(B64/B63)</f>
        <v>#DIV/0!</v>
      </c>
      <c r="C65" s="99" t="e">
        <f t="shared" ref="C65:M65" si="32">SUM(C64/C63)</f>
        <v>#DIV/0!</v>
      </c>
      <c r="D65" s="99" t="e">
        <f t="shared" si="32"/>
        <v>#DIV/0!</v>
      </c>
      <c r="E65" s="99" t="e">
        <f t="shared" si="32"/>
        <v>#DIV/0!</v>
      </c>
      <c r="F65" s="99" t="e">
        <f t="shared" si="32"/>
        <v>#DIV/0!</v>
      </c>
      <c r="G65" s="99" t="e">
        <f t="shared" si="32"/>
        <v>#DIV/0!</v>
      </c>
      <c r="H65" s="99" t="e">
        <f t="shared" si="32"/>
        <v>#DIV/0!</v>
      </c>
      <c r="I65" s="99" t="e">
        <f t="shared" si="32"/>
        <v>#DIV/0!</v>
      </c>
      <c r="J65" s="99" t="e">
        <f t="shared" si="32"/>
        <v>#DIV/0!</v>
      </c>
      <c r="K65" s="99" t="e">
        <f t="shared" si="32"/>
        <v>#DIV/0!</v>
      </c>
      <c r="L65" s="99" t="e">
        <f t="shared" si="32"/>
        <v>#DIV/0!</v>
      </c>
      <c r="M65" s="99" t="e">
        <f t="shared" si="32"/>
        <v>#DIV/0!</v>
      </c>
      <c r="N65" s="99" t="e">
        <f>SUM(B65:M65)</f>
        <v>#DIV/0!</v>
      </c>
    </row>
  </sheetData>
  <sheetProtection algorithmName="SHA-512" hashValue="etC+P6yJriSXStBJsvML6Glc3H02YO318pJJHM0w0FOeklRSt4Zj8MJxceC6NQ/845Q7To7qVz35Yo3+crxyoA==" saltValue="Fhkz1ZOkXPYBYxKU/P4TQQ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01270-537F-4145-995D-51F58740F898}">
  <sheetPr>
    <tabColor rgb="FF00B050"/>
    <pageSetUpPr fitToPage="1"/>
  </sheetPr>
  <dimension ref="A1:P65"/>
  <sheetViews>
    <sheetView workbookViewId="0"/>
  </sheetViews>
  <sheetFormatPr defaultRowHeight="15" x14ac:dyDescent="0.25"/>
  <cols>
    <col min="1" max="13" width="12.7109375" customWidth="1"/>
    <col min="14" max="14" width="15.7109375" customWidth="1"/>
    <col min="16" max="16" width="10.42578125" bestFit="1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80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6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6" ht="15.75" x14ac:dyDescent="0.25">
      <c r="A25" s="49" t="s">
        <v>171</v>
      </c>
      <c r="B25" s="99">
        <f>SUM(Expansion!B25/'Red-Green'!B25)</f>
        <v>4.1357370095440084E-2</v>
      </c>
      <c r="C25" s="99">
        <f>SUM(Expansion!C25/'Red-Green'!C25)</f>
        <v>3.215627347858753E-2</v>
      </c>
      <c r="D25" s="207">
        <f>SUM(Expansion!D25/'Red-Green'!D25)</f>
        <v>3.4580688272636148E-2</v>
      </c>
      <c r="E25" s="208">
        <f>SUM(Expansion!E25/'Red-Green'!E25)</f>
        <v>2.6581983615995085E-2</v>
      </c>
      <c r="F25" s="208">
        <f>SUM(Expansion!F25/'Red-Green'!F25)</f>
        <v>2.5184412057009685E-2</v>
      </c>
      <c r="G25" s="208">
        <f>SUM(Expansion!G25/'Red-Green'!G25)</f>
        <v>2.8973250815332387E-2</v>
      </c>
      <c r="H25" s="208">
        <f>SUM(Expansion!H25/'Red-Green'!H25)</f>
        <v>2.4504973015432398E-2</v>
      </c>
      <c r="I25" s="208">
        <f>SUM(Expansion!I25/'Red-Green'!I25)</f>
        <v>3.3376669286300675E-2</v>
      </c>
      <c r="J25" s="208">
        <f>SUM(Expansion!J25/'Red-Green'!J25)</f>
        <v>3.1462452548812025E-2</v>
      </c>
      <c r="K25" s="208">
        <f>SUM(Expansion!K25/'Red-Green'!K25)</f>
        <v>3.7394684176863764E-2</v>
      </c>
      <c r="L25" s="208">
        <f>SUM(Expansion!L25/'Red-Green'!L25)</f>
        <v>3.6166926911968905E-2</v>
      </c>
      <c r="M25" s="208">
        <f>SUM(Expansion!M25/'Red-Green'!M25)</f>
        <v>4.0203575243328765E-2</v>
      </c>
      <c r="N25" s="200">
        <f>SUM(Expansion!N25)</f>
        <v>2549.9124999999999</v>
      </c>
      <c r="O25" s="122">
        <f>SUM(N25-N26)</f>
        <v>196.91249999999991</v>
      </c>
      <c r="P25" s="123">
        <f>SUM(O25/N26)</f>
        <v>8.3685720356991039E-2</v>
      </c>
    </row>
    <row r="26" spans="1:16" ht="15.75" x14ac:dyDescent="0.25">
      <c r="A26" s="49" t="s">
        <v>61</v>
      </c>
      <c r="B26" s="99">
        <f>SUM(Expansion!B26/'Red-Green'!B26)</f>
        <v>5.0045289855072464E-2</v>
      </c>
      <c r="C26" s="99">
        <f>SUM(Expansion!C26/'Red-Green'!C26)</f>
        <v>4.4787497617686294E-2</v>
      </c>
      <c r="D26" s="99">
        <f>SUM(Expansion!D26/'Red-Green'!D26)</f>
        <v>3.5449299258037921E-2</v>
      </c>
      <c r="E26" s="99">
        <f>SUM(Expansion!E26/'Red-Green'!E26)</f>
        <v>2.8561415805151567E-2</v>
      </c>
      <c r="F26" s="99">
        <f>SUM(Expansion!F26/'Red-Green'!F26)</f>
        <v>2.7059773828756059E-2</v>
      </c>
      <c r="G26" s="99">
        <f>SUM(Expansion!G26/'Red-Green'!G26)</f>
        <v>3.1130749146414942E-2</v>
      </c>
      <c r="H26" s="99">
        <f>SUM(Expansion!H26/'Red-Green'!H26)</f>
        <v>2.6329740236790952E-2</v>
      </c>
      <c r="I26" s="99">
        <f>SUM(Expansion!I26/'Red-Green'!I26)</f>
        <v>3.5862068965517239E-2</v>
      </c>
      <c r="J26" s="99">
        <f>SUM(Expansion!J26/'Red-Green'!J26)</f>
        <v>3.3805309734513275E-2</v>
      </c>
      <c r="K26" s="99">
        <f>SUM(Expansion!K26/'Red-Green'!K26)</f>
        <v>4.0179286057307508E-2</v>
      </c>
      <c r="L26" s="99">
        <f>SUM(Expansion!L26/'Red-Green'!L26)</f>
        <v>3.8860103626943004E-2</v>
      </c>
      <c r="M26" s="209">
        <f>SUM(Expansion!M26/'Red-Green'!M26)</f>
        <v>4.3197341702049107E-2</v>
      </c>
      <c r="N26" s="2">
        <f>SUM(Expansion!N26)</f>
        <v>2353</v>
      </c>
      <c r="O26" s="122">
        <f>SUM(N26-N27)</f>
        <v>211</v>
      </c>
      <c r="P26" s="123">
        <f>SUM(O26/N27)</f>
        <v>9.8506069094304385E-2</v>
      </c>
    </row>
    <row r="27" spans="1:16" ht="15.75" x14ac:dyDescent="0.25">
      <c r="A27" s="49" t="s">
        <v>34</v>
      </c>
      <c r="B27" s="99">
        <f>SUM(Expansion!B27/'Red-Green'!B27)</f>
        <v>4.3095599393019726E-2</v>
      </c>
      <c r="C27" s="99">
        <f>SUM(Expansion!C27/'Red-Green'!C27)</f>
        <v>4.598214285714286E-2</v>
      </c>
      <c r="D27" s="99">
        <f>SUM(Expansion!D27/'Red-Green'!D27)</f>
        <v>3.8486209108402822E-2</v>
      </c>
      <c r="E27" s="99">
        <f>SUM(Expansion!E27/'Red-Green'!E27)</f>
        <v>0.04</v>
      </c>
      <c r="F27" s="99">
        <f>SUM(Expansion!F27/'Red-Green'!F27)</f>
        <v>2.8534088433892397E-2</v>
      </c>
      <c r="G27" s="99">
        <f>SUM(Expansion!G27/'Red-Green'!G27)</f>
        <v>2.9463500439753737E-2</v>
      </c>
      <c r="H27" s="99">
        <f>SUM(Expansion!H27/'Red-Green'!H27)</f>
        <v>3.9581624282198524E-2</v>
      </c>
      <c r="I27" s="99">
        <f>SUM(Expansion!I27/'Red-Green'!I27)</f>
        <v>3.069353327085286E-2</v>
      </c>
      <c r="J27" s="99">
        <f>SUM(Expansion!J27/'Red-Green'!J27)</f>
        <v>4.0668868703550784E-2</v>
      </c>
      <c r="K27" s="195">
        <f>SUM(Expansion!K27/'Red-Green'!K27)</f>
        <v>4.3621013133208257E-2</v>
      </c>
      <c r="L27" s="99">
        <f>SUM(Expansion!L27/'Red-Green'!L27)</f>
        <v>4.2843419788664745E-2</v>
      </c>
      <c r="M27" s="99">
        <f>SUM(Expansion!M27/'Red-Green'!M27)</f>
        <v>4.2851577717179588E-2</v>
      </c>
      <c r="N27" s="2">
        <f>SUM(Expansion!N27)</f>
        <v>2142</v>
      </c>
      <c r="O27" s="122">
        <f>SUM(N27-N28)</f>
        <v>1089</v>
      </c>
      <c r="P27" s="123">
        <f>SUM(O27/N28)</f>
        <v>1.0341880341880343</v>
      </c>
    </row>
    <row r="28" spans="1:16" ht="15.75" x14ac:dyDescent="0.25">
      <c r="A28" s="49" t="s">
        <v>31</v>
      </c>
      <c r="B28" s="117">
        <f>SUM(Expansion!B28/'Red-Green'!B28)</f>
        <v>2.7533460803059275E-2</v>
      </c>
      <c r="C28" s="99">
        <f>SUM(Expansion!C28/'Red-Green'!C28)</f>
        <v>2.2894838960031045E-2</v>
      </c>
      <c r="D28" s="99">
        <f>SUM(Expansion!D28/'Red-Green'!D28)</f>
        <v>1.7140468227424748E-2</v>
      </c>
      <c r="E28" s="99">
        <f>SUM(Expansion!E28/'Red-Green'!E28)</f>
        <v>4.3195718654434251E-2</v>
      </c>
      <c r="F28" s="99">
        <f>SUM(Expansion!F28/'Red-Green'!F28)</f>
        <v>3.2833400891771385E-2</v>
      </c>
      <c r="G28" s="99">
        <f>SUM(Expansion!G28/'Red-Green'!G28)</f>
        <v>2.7378964941569283E-2</v>
      </c>
      <c r="H28" s="99">
        <f>SUM(Expansion!H28/'Red-Green'!H28)</f>
        <v>3.4340091021928011E-2</v>
      </c>
      <c r="I28" s="99">
        <f>SUM(Expansion!I28/'Red-Green'!I28)</f>
        <v>3.4849128771780709E-2</v>
      </c>
      <c r="J28" s="118">
        <f>SUM(Expansion!J28/'Red-Green'!J28)</f>
        <v>3.5860333438188112E-2</v>
      </c>
      <c r="K28" s="99">
        <f>SUM(Expansion!K28/'Red-Green'!K28)</f>
        <v>3.0293159609120521E-2</v>
      </c>
      <c r="L28" s="99">
        <f>SUM(Expansion!L28/'Red-Green'!L28)</f>
        <v>3.2675709001233046E-2</v>
      </c>
      <c r="M28" s="99">
        <f>SUM(Expansion!M28/'Red-Green'!M28)</f>
        <v>3.4995866629925598E-2</v>
      </c>
      <c r="N28" s="2">
        <f>SUM(Expansion!N28)</f>
        <v>1053</v>
      </c>
      <c r="O28" s="122"/>
      <c r="P28" s="128"/>
    </row>
    <row r="29" spans="1:16" ht="15.75" x14ac:dyDescent="0.25">
      <c r="A29" s="126" t="s">
        <v>14</v>
      </c>
      <c r="B29" s="74"/>
      <c r="C29" s="74"/>
      <c r="D29" s="74"/>
      <c r="E29" s="74"/>
      <c r="F29" s="74"/>
      <c r="G29" s="74"/>
      <c r="H29" s="74"/>
      <c r="I29" s="74"/>
      <c r="J29" s="116"/>
      <c r="K29" s="74"/>
      <c r="L29" s="74"/>
      <c r="M29" s="74"/>
      <c r="N29" s="127">
        <f t="shared" ref="N29" si="0">SUM(B29:M29)</f>
        <v>0</v>
      </c>
      <c r="O29" s="124"/>
      <c r="P29" s="125"/>
    </row>
    <row r="31" spans="1:16" x14ac:dyDescent="0.25">
      <c r="A31" s="107" t="s">
        <v>63</v>
      </c>
    </row>
    <row r="32" spans="1:16" ht="15.75" x14ac:dyDescent="0.25">
      <c r="A32" s="114" t="s">
        <v>174</v>
      </c>
      <c r="B32" s="111"/>
      <c r="C32" s="111"/>
      <c r="D32" s="111"/>
      <c r="E32" s="111"/>
      <c r="F32" s="111"/>
      <c r="G32" s="111"/>
      <c r="H32" s="111"/>
    </row>
    <row r="33" spans="1:15" x14ac:dyDescent="0.25">
      <c r="A33" s="101" t="s">
        <v>61</v>
      </c>
      <c r="B33" s="96" t="s">
        <v>43</v>
      </c>
      <c r="C33" s="96" t="s">
        <v>44</v>
      </c>
      <c r="D33" s="96" t="s">
        <v>45</v>
      </c>
      <c r="E33" s="96" t="s">
        <v>46</v>
      </c>
      <c r="F33" s="96" t="s">
        <v>47</v>
      </c>
      <c r="G33" s="96" t="s">
        <v>48</v>
      </c>
      <c r="H33" s="96" t="s">
        <v>49</v>
      </c>
      <c r="I33" s="96" t="s">
        <v>50</v>
      </c>
      <c r="J33" s="96" t="s">
        <v>27</v>
      </c>
      <c r="K33" s="96" t="s">
        <v>51</v>
      </c>
      <c r="L33" s="96" t="s">
        <v>52</v>
      </c>
      <c r="M33" s="96" t="s">
        <v>53</v>
      </c>
      <c r="N33" s="97" t="s">
        <v>54</v>
      </c>
    </row>
    <row r="34" spans="1:15" hidden="1" x14ac:dyDescent="0.25">
      <c r="A34" s="3" t="s">
        <v>66</v>
      </c>
      <c r="B34" s="1">
        <f>SUM(N34)</f>
        <v>2549.9124999999999</v>
      </c>
      <c r="C34" s="1">
        <f t="shared" ref="C34:M34" si="1">SUM(B34)</f>
        <v>2549.9124999999999</v>
      </c>
      <c r="D34" s="1">
        <f t="shared" si="1"/>
        <v>2549.9124999999999</v>
      </c>
      <c r="E34" s="1">
        <f t="shared" si="1"/>
        <v>2549.9124999999999</v>
      </c>
      <c r="F34" s="1">
        <f t="shared" si="1"/>
        <v>2549.9124999999999</v>
      </c>
      <c r="G34" s="1">
        <f t="shared" si="1"/>
        <v>2549.9124999999999</v>
      </c>
      <c r="H34" s="1">
        <f t="shared" si="1"/>
        <v>2549.9124999999999</v>
      </c>
      <c r="I34" s="1">
        <f t="shared" si="1"/>
        <v>2549.9124999999999</v>
      </c>
      <c r="J34" s="1">
        <f t="shared" si="1"/>
        <v>2549.9124999999999</v>
      </c>
      <c r="K34" s="1">
        <f t="shared" si="1"/>
        <v>2549.9124999999999</v>
      </c>
      <c r="L34" s="1">
        <f t="shared" si="1"/>
        <v>2549.9124999999999</v>
      </c>
      <c r="M34" s="1">
        <f t="shared" si="1"/>
        <v>2549.9124999999999</v>
      </c>
      <c r="N34" s="1">
        <f>SUM(N25)</f>
        <v>2549.9124999999999</v>
      </c>
    </row>
    <row r="35" spans="1:15" x14ac:dyDescent="0.25">
      <c r="A35" s="3" t="s">
        <v>67</v>
      </c>
      <c r="B35" s="1">
        <f>SUM(Expansion!B25)</f>
        <v>234</v>
      </c>
      <c r="C35" s="1">
        <f>SUM(Expansion!C25)</f>
        <v>214</v>
      </c>
      <c r="D35" s="1">
        <f>SUM(Expansion!D25)</f>
        <v>207</v>
      </c>
      <c r="E35" s="1">
        <f>SUM(Expansion!E25)</f>
        <v>179.05549999999999</v>
      </c>
      <c r="F35" s="1">
        <f>SUM(Expansion!F25)</f>
        <v>147.19900000000001</v>
      </c>
      <c r="G35" s="1">
        <f>SUM(Expansion!G25)</f>
        <v>170.26750000000001</v>
      </c>
      <c r="H35" s="1">
        <f>SUM(Expansion!H25)</f>
        <v>163.6765</v>
      </c>
      <c r="I35" s="1">
        <f>SUM(Expansion!I25)</f>
        <v>228.488</v>
      </c>
      <c r="J35" s="1">
        <f>SUM(Expansion!J25)</f>
        <v>209.8135</v>
      </c>
      <c r="K35" s="1">
        <f>SUM(Expansion!K25)</f>
        <v>275.7235</v>
      </c>
      <c r="L35" s="1">
        <f>SUM(Expansion!L25)</f>
        <v>263.64000000000004</v>
      </c>
      <c r="M35" s="1">
        <f>SUM(Expansion!M25)</f>
        <v>257.04899999999998</v>
      </c>
      <c r="N35" s="1">
        <f>SUM(B35:M35)</f>
        <v>2549.9124999999999</v>
      </c>
    </row>
    <row r="36" spans="1:15" x14ac:dyDescent="0.25">
      <c r="A36" s="3" t="s">
        <v>65</v>
      </c>
      <c r="B36" s="99">
        <f>SUM(B35/B34)</f>
        <v>9.1767854779330665E-2</v>
      </c>
      <c r="C36" s="99">
        <f t="shared" ref="C36:M36" si="2">SUM(C35/C34)</f>
        <v>8.3924448387934877E-2</v>
      </c>
      <c r="D36" s="99">
        <f t="shared" si="2"/>
        <v>8.1179256150946358E-2</v>
      </c>
      <c r="E36" s="99">
        <f t="shared" si="2"/>
        <v>7.0220252655728385E-2</v>
      </c>
      <c r="F36" s="99">
        <f t="shared" si="2"/>
        <v>5.7727078870353402E-2</v>
      </c>
      <c r="G36" s="99">
        <f t="shared" si="2"/>
        <v>6.6773859887349088E-2</v>
      </c>
      <c r="H36" s="99">
        <f t="shared" si="2"/>
        <v>6.4189065311064594E-2</v>
      </c>
      <c r="I36" s="99">
        <f t="shared" si="2"/>
        <v>8.9606211977861991E-2</v>
      </c>
      <c r="J36" s="99">
        <f t="shared" si="2"/>
        <v>8.2282627345055967E-2</v>
      </c>
      <c r="K36" s="99">
        <f t="shared" si="2"/>
        <v>0.10813057310790077</v>
      </c>
      <c r="L36" s="99">
        <f t="shared" si="2"/>
        <v>0.10339178305137924</v>
      </c>
      <c r="M36" s="99">
        <f t="shared" si="2"/>
        <v>0.10080698847509473</v>
      </c>
      <c r="N36" s="99">
        <f>SUM(B36:M36)</f>
        <v>1</v>
      </c>
      <c r="O36" s="101" t="s">
        <v>56</v>
      </c>
    </row>
    <row r="37" spans="1:15" x14ac:dyDescent="0.25">
      <c r="A37" s="109" t="s">
        <v>69</v>
      </c>
      <c r="B37" s="102">
        <f t="shared" ref="B37:N37" si="3">SUM(B35-B43)/B43</f>
        <v>5.8823529411764705E-2</v>
      </c>
      <c r="C37" s="102">
        <f t="shared" si="3"/>
        <v>-8.9361702127659579E-2</v>
      </c>
      <c r="D37" s="102">
        <f t="shared" si="3"/>
        <v>0.20348837209302326</v>
      </c>
      <c r="E37" s="102">
        <f t="shared" si="3"/>
        <v>9.8499999999999963E-2</v>
      </c>
      <c r="F37" s="102">
        <f t="shared" si="3"/>
        <v>9.8500000000000087E-2</v>
      </c>
      <c r="G37" s="102">
        <f t="shared" si="3"/>
        <v>9.8500000000000087E-2</v>
      </c>
      <c r="H37" s="102">
        <f t="shared" si="3"/>
        <v>9.8500000000000032E-2</v>
      </c>
      <c r="I37" s="102">
        <f t="shared" si="3"/>
        <v>9.8500000000000004E-2</v>
      </c>
      <c r="J37" s="102">
        <f t="shared" si="3"/>
        <v>9.8500000000000018E-2</v>
      </c>
      <c r="K37" s="102">
        <f t="shared" si="3"/>
        <v>9.8500000000000004E-2</v>
      </c>
      <c r="L37" s="102">
        <f t="shared" si="3"/>
        <v>9.8500000000000185E-2</v>
      </c>
      <c r="M37" s="102">
        <f t="shared" si="3"/>
        <v>9.8499999999999907E-2</v>
      </c>
      <c r="N37" s="102">
        <f t="shared" si="3"/>
        <v>8.3685720356991039E-2</v>
      </c>
      <c r="O37" s="110">
        <f>SUM(O25)</f>
        <v>196.91249999999991</v>
      </c>
    </row>
    <row r="38" spans="1:15" hidden="1" x14ac:dyDescent="0.25">
      <c r="A38" s="206" t="s">
        <v>181</v>
      </c>
      <c r="B38" s="111">
        <f>SUM(N26*1.0985)</f>
        <v>2584.7705000000001</v>
      </c>
      <c r="C38" s="111">
        <f>SUM(B38)</f>
        <v>2584.7705000000001</v>
      </c>
      <c r="D38" s="111">
        <f t="shared" ref="D38:N38" si="4">SUM(C38)</f>
        <v>2584.7705000000001</v>
      </c>
      <c r="E38" s="111">
        <f t="shared" si="4"/>
        <v>2584.7705000000001</v>
      </c>
      <c r="F38" s="111">
        <f t="shared" si="4"/>
        <v>2584.7705000000001</v>
      </c>
      <c r="G38" s="111">
        <f t="shared" si="4"/>
        <v>2584.7705000000001</v>
      </c>
      <c r="H38" s="111">
        <f t="shared" si="4"/>
        <v>2584.7705000000001</v>
      </c>
      <c r="I38" s="111">
        <f t="shared" si="4"/>
        <v>2584.7705000000001</v>
      </c>
      <c r="J38" s="111">
        <f t="shared" si="4"/>
        <v>2584.7705000000001</v>
      </c>
      <c r="K38" s="111">
        <f t="shared" si="4"/>
        <v>2584.7705000000001</v>
      </c>
      <c r="L38" s="111">
        <f t="shared" si="4"/>
        <v>2584.7705000000001</v>
      </c>
      <c r="M38" s="111">
        <f t="shared" si="4"/>
        <v>2584.7705000000001</v>
      </c>
      <c r="N38" s="111">
        <f t="shared" si="4"/>
        <v>2584.7705000000001</v>
      </c>
      <c r="O38" s="110"/>
    </row>
    <row r="39" spans="1:15" x14ac:dyDescent="0.25">
      <c r="A39" s="204" t="s">
        <v>180</v>
      </c>
      <c r="B39" s="111">
        <f>SUM(B38*B44)</f>
        <v>242.76849999999999</v>
      </c>
      <c r="C39" s="111">
        <f t="shared" ref="C39:M39" si="5">SUM(C38*C44)</f>
        <v>258.14750000000004</v>
      </c>
      <c r="D39" s="111">
        <f t="shared" si="5"/>
        <v>188.94200000000001</v>
      </c>
      <c r="E39" s="111">
        <f t="shared" si="5"/>
        <v>179.05549999999999</v>
      </c>
      <c r="F39" s="111">
        <f t="shared" si="5"/>
        <v>147.19900000000001</v>
      </c>
      <c r="G39" s="111">
        <f t="shared" si="5"/>
        <v>170.26750000000001</v>
      </c>
      <c r="H39" s="111">
        <f t="shared" si="5"/>
        <v>163.6765</v>
      </c>
      <c r="I39" s="111">
        <f t="shared" si="5"/>
        <v>228.488</v>
      </c>
      <c r="J39" s="111">
        <f t="shared" si="5"/>
        <v>209.8135</v>
      </c>
      <c r="K39" s="111">
        <f t="shared" si="5"/>
        <v>275.7235</v>
      </c>
      <c r="L39" s="111">
        <f t="shared" si="5"/>
        <v>263.64000000000004</v>
      </c>
      <c r="M39" s="111">
        <f t="shared" si="5"/>
        <v>257.04899999999998</v>
      </c>
      <c r="N39" s="111">
        <f>SUM(B39:M39)</f>
        <v>2584.7705000000001</v>
      </c>
    </row>
    <row r="40" spans="1:15" ht="15.75" x14ac:dyDescent="0.25">
      <c r="A40" s="98" t="s">
        <v>173</v>
      </c>
      <c r="B40" s="1"/>
      <c r="C40" s="1"/>
      <c r="D40" s="1"/>
      <c r="E40" s="1"/>
      <c r="F40" s="1"/>
      <c r="G40" s="1"/>
      <c r="H40" s="1"/>
    </row>
    <row r="41" spans="1:15" x14ac:dyDescent="0.25">
      <c r="A41" s="101" t="s">
        <v>61</v>
      </c>
      <c r="B41" s="96" t="s">
        <v>43</v>
      </c>
      <c r="C41" s="96" t="s">
        <v>44</v>
      </c>
      <c r="D41" s="96" t="s">
        <v>45</v>
      </c>
      <c r="E41" s="96" t="s">
        <v>46</v>
      </c>
      <c r="F41" s="96" t="s">
        <v>47</v>
      </c>
      <c r="G41" s="96" t="s">
        <v>48</v>
      </c>
      <c r="H41" s="96" t="s">
        <v>49</v>
      </c>
      <c r="I41" s="96" t="s">
        <v>50</v>
      </c>
      <c r="J41" s="96" t="s">
        <v>27</v>
      </c>
      <c r="K41" s="96" t="s">
        <v>51</v>
      </c>
      <c r="L41" s="96" t="s">
        <v>52</v>
      </c>
      <c r="M41" s="96" t="s">
        <v>53</v>
      </c>
      <c r="N41" s="97" t="s">
        <v>54</v>
      </c>
    </row>
    <row r="42" spans="1:15" hidden="1" x14ac:dyDescent="0.25">
      <c r="A42" s="3" t="s">
        <v>66</v>
      </c>
      <c r="B42" s="1">
        <f>SUM(N42)</f>
        <v>2353</v>
      </c>
      <c r="C42" s="1">
        <f t="shared" ref="C42:M42" si="6">SUM(B42)</f>
        <v>2353</v>
      </c>
      <c r="D42" s="1">
        <f t="shared" si="6"/>
        <v>2353</v>
      </c>
      <c r="E42" s="1">
        <f t="shared" si="6"/>
        <v>2353</v>
      </c>
      <c r="F42" s="1">
        <f t="shared" si="6"/>
        <v>2353</v>
      </c>
      <c r="G42" s="1">
        <f t="shared" si="6"/>
        <v>2353</v>
      </c>
      <c r="H42" s="1">
        <f t="shared" si="6"/>
        <v>2353</v>
      </c>
      <c r="I42" s="1">
        <f t="shared" si="6"/>
        <v>2353</v>
      </c>
      <c r="J42" s="1">
        <f t="shared" si="6"/>
        <v>2353</v>
      </c>
      <c r="K42" s="1">
        <f t="shared" si="6"/>
        <v>2353</v>
      </c>
      <c r="L42" s="1">
        <f t="shared" si="6"/>
        <v>2353</v>
      </c>
      <c r="M42" s="1">
        <f t="shared" si="6"/>
        <v>2353</v>
      </c>
      <c r="N42" s="1">
        <f>SUM(N26)</f>
        <v>2353</v>
      </c>
    </row>
    <row r="43" spans="1:15" x14ac:dyDescent="0.25">
      <c r="A43" s="3" t="s">
        <v>67</v>
      </c>
      <c r="B43" s="1">
        <f>SUM(Expansion!B26)</f>
        <v>221</v>
      </c>
      <c r="C43" s="1">
        <f>SUM(Expansion!C26)</f>
        <v>235</v>
      </c>
      <c r="D43" s="1">
        <f>SUM(Expansion!D26)</f>
        <v>172</v>
      </c>
      <c r="E43" s="1">
        <f>SUM(Expansion!E26)</f>
        <v>163</v>
      </c>
      <c r="F43" s="1">
        <f>SUM(Expansion!F26)</f>
        <v>134</v>
      </c>
      <c r="G43" s="1">
        <f>SUM(Expansion!G26)</f>
        <v>155</v>
      </c>
      <c r="H43" s="1">
        <f>SUM(Expansion!H26)</f>
        <v>149</v>
      </c>
      <c r="I43" s="1">
        <f>SUM(Expansion!I26)</f>
        <v>208</v>
      </c>
      <c r="J43" s="1">
        <f>SUM(Expansion!J26)</f>
        <v>191</v>
      </c>
      <c r="K43" s="1">
        <f>SUM(Expansion!K26)</f>
        <v>251</v>
      </c>
      <c r="L43" s="1">
        <f>SUM(Expansion!L26)</f>
        <v>240</v>
      </c>
      <c r="M43" s="1">
        <f>SUM(Expansion!M26)</f>
        <v>234</v>
      </c>
      <c r="N43" s="1">
        <f>SUM(B43:M43)</f>
        <v>2353</v>
      </c>
    </row>
    <row r="44" spans="1:15" x14ac:dyDescent="0.25">
      <c r="A44" s="3" t="s">
        <v>65</v>
      </c>
      <c r="B44" s="99">
        <f>SUM(B43/B42)</f>
        <v>9.3922651933701654E-2</v>
      </c>
      <c r="C44" s="99">
        <f t="shared" ref="C44:M44" si="7">SUM(C43/C42)</f>
        <v>9.9872503187420317E-2</v>
      </c>
      <c r="D44" s="99">
        <f t="shared" si="7"/>
        <v>7.309817254568636E-2</v>
      </c>
      <c r="E44" s="99">
        <f t="shared" si="7"/>
        <v>6.9273268168295793E-2</v>
      </c>
      <c r="F44" s="99">
        <f t="shared" si="7"/>
        <v>5.6948576285592863E-2</v>
      </c>
      <c r="G44" s="99">
        <f t="shared" si="7"/>
        <v>6.587335316617085E-2</v>
      </c>
      <c r="H44" s="99">
        <f t="shared" si="7"/>
        <v>6.332341691457713E-2</v>
      </c>
      <c r="I44" s="99">
        <f t="shared" si="7"/>
        <v>8.8397790055248615E-2</v>
      </c>
      <c r="J44" s="99">
        <f t="shared" si="7"/>
        <v>8.1172970675733105E-2</v>
      </c>
      <c r="K44" s="99">
        <f t="shared" si="7"/>
        <v>0.1066723331916702</v>
      </c>
      <c r="L44" s="99">
        <f t="shared" si="7"/>
        <v>0.10199745006374841</v>
      </c>
      <c r="M44" s="99">
        <f t="shared" si="7"/>
        <v>9.9447513812154692E-2</v>
      </c>
      <c r="N44" s="99">
        <f>SUM(B44:M44)</f>
        <v>1</v>
      </c>
      <c r="O44" s="101" t="s">
        <v>56</v>
      </c>
    </row>
    <row r="45" spans="1:15" x14ac:dyDescent="0.25">
      <c r="A45" s="109" t="s">
        <v>69</v>
      </c>
      <c r="B45" s="102">
        <f t="shared" ref="B45:N45" si="8">SUM(B43-B50)/B50</f>
        <v>0.55633802816901412</v>
      </c>
      <c r="C45" s="102">
        <f t="shared" si="8"/>
        <v>0.14077669902912621</v>
      </c>
      <c r="D45" s="102">
        <f t="shared" si="8"/>
        <v>-4.4444444444444446E-2</v>
      </c>
      <c r="E45" s="102">
        <f t="shared" si="8"/>
        <v>-0.18090452261306533</v>
      </c>
      <c r="F45" s="102">
        <f t="shared" si="8"/>
        <v>2.2900763358778626E-2</v>
      </c>
      <c r="G45" s="102">
        <f t="shared" si="8"/>
        <v>0.15671641791044777</v>
      </c>
      <c r="H45" s="102">
        <f t="shared" si="8"/>
        <v>-0.22797927461139897</v>
      </c>
      <c r="I45" s="102">
        <f t="shared" si="8"/>
        <v>0.58778625954198471</v>
      </c>
      <c r="J45" s="102">
        <f t="shared" si="8"/>
        <v>-3.0456852791878174E-2</v>
      </c>
      <c r="K45" s="102">
        <f t="shared" si="8"/>
        <v>0.34946236559139787</v>
      </c>
      <c r="L45" s="102">
        <f t="shared" si="8"/>
        <v>7.623318385650224E-2</v>
      </c>
      <c r="M45" s="102">
        <f t="shared" si="8"/>
        <v>6.363636363636363E-2</v>
      </c>
      <c r="N45" s="102">
        <f t="shared" si="8"/>
        <v>9.8506069094304385E-2</v>
      </c>
      <c r="O45" s="110">
        <f>SUM(N43-N50)</f>
        <v>211</v>
      </c>
    </row>
    <row r="47" spans="1:15" ht="15.75" x14ac:dyDescent="0.25">
      <c r="A47" s="98" t="s">
        <v>64</v>
      </c>
    </row>
    <row r="48" spans="1:15" x14ac:dyDescent="0.25">
      <c r="A48" s="101" t="s">
        <v>34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2142</v>
      </c>
      <c r="C49" s="1">
        <f t="shared" ref="C49:M49" si="9">SUM(B49)</f>
        <v>2142</v>
      </c>
      <c r="D49" s="1">
        <f t="shared" si="9"/>
        <v>2142</v>
      </c>
      <c r="E49" s="1">
        <f t="shared" si="9"/>
        <v>2142</v>
      </c>
      <c r="F49" s="1">
        <f t="shared" si="9"/>
        <v>2142</v>
      </c>
      <c r="G49" s="1">
        <f t="shared" si="9"/>
        <v>2142</v>
      </c>
      <c r="H49" s="1">
        <f t="shared" si="9"/>
        <v>2142</v>
      </c>
      <c r="I49" s="1">
        <f t="shared" si="9"/>
        <v>2142</v>
      </c>
      <c r="J49" s="1">
        <f t="shared" si="9"/>
        <v>2142</v>
      </c>
      <c r="K49" s="1">
        <f t="shared" si="9"/>
        <v>2142</v>
      </c>
      <c r="L49" s="1">
        <f t="shared" si="9"/>
        <v>2142</v>
      </c>
      <c r="M49" s="1">
        <f t="shared" si="9"/>
        <v>2142</v>
      </c>
      <c r="N49" s="1">
        <f>SUM(N27)</f>
        <v>2142</v>
      </c>
    </row>
    <row r="50" spans="1:15" x14ac:dyDescent="0.25">
      <c r="A50" s="3" t="s">
        <v>67</v>
      </c>
      <c r="B50" s="1">
        <f>SUM(Expansion!B27)</f>
        <v>142</v>
      </c>
      <c r="C50" s="1">
        <f>SUM(Expansion!C27)</f>
        <v>206</v>
      </c>
      <c r="D50" s="1">
        <f>SUM(Expansion!D27)</f>
        <v>180</v>
      </c>
      <c r="E50" s="1">
        <f>SUM(Expansion!E27)</f>
        <v>199</v>
      </c>
      <c r="F50" s="1">
        <f>SUM(Expansion!F27)</f>
        <v>131</v>
      </c>
      <c r="G50" s="1">
        <f>SUM(Expansion!G27)</f>
        <v>134</v>
      </c>
      <c r="H50" s="1">
        <f>SUM(Expansion!H27)</f>
        <v>193</v>
      </c>
      <c r="I50" s="1">
        <f>SUM(Expansion!I27)</f>
        <v>131</v>
      </c>
      <c r="J50" s="1">
        <f>SUM(Expansion!J27)</f>
        <v>197</v>
      </c>
      <c r="K50" s="1">
        <f>SUM(Expansion!K27)</f>
        <v>186</v>
      </c>
      <c r="L50" s="1">
        <f>SUM(Expansion!L27)</f>
        <v>223</v>
      </c>
      <c r="M50" s="1">
        <f>SUM(Expansion!M27)</f>
        <v>220</v>
      </c>
      <c r="N50" s="1">
        <f>SUM(B50:M50)</f>
        <v>2142</v>
      </c>
    </row>
    <row r="51" spans="1:15" x14ac:dyDescent="0.25">
      <c r="A51" s="3" t="s">
        <v>65</v>
      </c>
      <c r="B51" s="99">
        <f>SUM(B50/B49)</f>
        <v>6.6293183940242764E-2</v>
      </c>
      <c r="C51" s="99">
        <f t="shared" ref="C51:M51" si="10">SUM(C50/C49)</f>
        <v>9.6171802054155001E-2</v>
      </c>
      <c r="D51" s="99">
        <f t="shared" si="10"/>
        <v>8.4033613445378158E-2</v>
      </c>
      <c r="E51" s="99">
        <f t="shared" si="10"/>
        <v>9.2903828197945848E-2</v>
      </c>
      <c r="F51" s="99">
        <f t="shared" si="10"/>
        <v>6.1157796451914097E-2</v>
      </c>
      <c r="G51" s="99">
        <f t="shared" si="10"/>
        <v>6.2558356676003735E-2</v>
      </c>
      <c r="H51" s="99">
        <f t="shared" si="10"/>
        <v>9.0102707749766572E-2</v>
      </c>
      <c r="I51" s="99">
        <f t="shared" si="10"/>
        <v>6.1157796451914097E-2</v>
      </c>
      <c r="J51" s="99">
        <f t="shared" si="10"/>
        <v>9.1970121381886094E-2</v>
      </c>
      <c r="K51" s="99">
        <f t="shared" si="10"/>
        <v>8.683473389355742E-2</v>
      </c>
      <c r="L51" s="99">
        <f t="shared" si="10"/>
        <v>0.10410830999066294</v>
      </c>
      <c r="M51" s="99">
        <f t="shared" si="10"/>
        <v>0.10270774976657329</v>
      </c>
      <c r="N51" s="99">
        <f>SUM(B51:M51)</f>
        <v>1</v>
      </c>
      <c r="O51" s="101" t="s">
        <v>56</v>
      </c>
    </row>
    <row r="52" spans="1:15" x14ac:dyDescent="0.25">
      <c r="A52" s="109" t="s">
        <v>69</v>
      </c>
      <c r="B52" s="102">
        <f t="shared" ref="B52:N52" si="11">SUM(B50-B57)/B57</f>
        <v>0.97222222222222221</v>
      </c>
      <c r="C52" s="102">
        <f t="shared" si="11"/>
        <v>2.4915254237288136</v>
      </c>
      <c r="D52" s="102">
        <f t="shared" si="11"/>
        <v>3.3902439024390243</v>
      </c>
      <c r="E52" s="102">
        <f t="shared" si="11"/>
        <v>0.76106194690265483</v>
      </c>
      <c r="F52" s="102">
        <f t="shared" si="11"/>
        <v>0.61728395061728392</v>
      </c>
      <c r="G52" s="102">
        <f t="shared" si="11"/>
        <v>0.63414634146341464</v>
      </c>
      <c r="H52" s="102">
        <f t="shared" si="11"/>
        <v>1.3253012048192772</v>
      </c>
      <c r="I52" s="102">
        <f t="shared" si="11"/>
        <v>0.59756097560975607</v>
      </c>
      <c r="J52" s="102">
        <f t="shared" si="11"/>
        <v>0.72807017543859653</v>
      </c>
      <c r="K52" s="102">
        <f t="shared" si="11"/>
        <v>1</v>
      </c>
      <c r="L52" s="102">
        <f t="shared" si="11"/>
        <v>1.1037735849056605</v>
      </c>
      <c r="M52" s="102">
        <f t="shared" si="11"/>
        <v>0.73228346456692917</v>
      </c>
      <c r="N52" s="102">
        <f t="shared" si="11"/>
        <v>1.0341880341880343</v>
      </c>
      <c r="O52" s="110">
        <f>SUM(N50-N57)</f>
        <v>1089</v>
      </c>
    </row>
    <row r="54" spans="1:15" ht="15.75" x14ac:dyDescent="0.25">
      <c r="A54" s="98" t="s">
        <v>55</v>
      </c>
    </row>
    <row r="55" spans="1:15" x14ac:dyDescent="0.25">
      <c r="A55" s="101" t="s">
        <v>31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3" t="s">
        <v>66</v>
      </c>
      <c r="B56" s="1">
        <f>SUM(N56)</f>
        <v>1053</v>
      </c>
      <c r="C56" s="1">
        <f t="shared" ref="C56:M56" si="12">SUM(B56)</f>
        <v>1053</v>
      </c>
      <c r="D56" s="1">
        <f t="shared" si="12"/>
        <v>1053</v>
      </c>
      <c r="E56" s="1">
        <f t="shared" si="12"/>
        <v>1053</v>
      </c>
      <c r="F56" s="1">
        <f t="shared" si="12"/>
        <v>1053</v>
      </c>
      <c r="G56" s="1">
        <f t="shared" si="12"/>
        <v>1053</v>
      </c>
      <c r="H56" s="1">
        <f t="shared" si="12"/>
        <v>1053</v>
      </c>
      <c r="I56" s="1">
        <f t="shared" si="12"/>
        <v>1053</v>
      </c>
      <c r="J56" s="1">
        <f t="shared" si="12"/>
        <v>1053</v>
      </c>
      <c r="K56" s="1">
        <f t="shared" si="12"/>
        <v>1053</v>
      </c>
      <c r="L56" s="1">
        <f t="shared" si="12"/>
        <v>1053</v>
      </c>
      <c r="M56" s="1">
        <f t="shared" si="12"/>
        <v>1053</v>
      </c>
      <c r="N56" s="1">
        <f>SUM(N28)</f>
        <v>1053</v>
      </c>
    </row>
    <row r="57" spans="1:15" x14ac:dyDescent="0.25">
      <c r="A57" s="3" t="s">
        <v>67</v>
      </c>
      <c r="B57" s="1">
        <f>SUM(Expansion!B28)</f>
        <v>72</v>
      </c>
      <c r="C57" s="1">
        <f>SUM(Expansion!C28)</f>
        <v>59</v>
      </c>
      <c r="D57" s="1">
        <f>SUM(Expansion!D28)</f>
        <v>41</v>
      </c>
      <c r="E57" s="1">
        <f>SUM(Expansion!E28)</f>
        <v>113</v>
      </c>
      <c r="F57" s="1">
        <f>SUM(Expansion!F28)</f>
        <v>81</v>
      </c>
      <c r="G57" s="1">
        <f>SUM(Expansion!G28)</f>
        <v>82</v>
      </c>
      <c r="H57" s="1">
        <f>SUM(Expansion!H28)</f>
        <v>83</v>
      </c>
      <c r="I57" s="1">
        <f>SUM(Expansion!I28)</f>
        <v>82</v>
      </c>
      <c r="J57" s="1">
        <f>SUM(Expansion!J28)</f>
        <v>114</v>
      </c>
      <c r="K57" s="1">
        <f>SUM(Expansion!K28)</f>
        <v>93</v>
      </c>
      <c r="L57" s="1">
        <f>SUM(Expansion!L28)</f>
        <v>106</v>
      </c>
      <c r="M57" s="1">
        <f>SUM(Expansion!M28)</f>
        <v>127</v>
      </c>
      <c r="N57" s="1">
        <f>SUM(B57:M57)</f>
        <v>1053</v>
      </c>
    </row>
    <row r="58" spans="1:15" x14ac:dyDescent="0.25">
      <c r="A58" s="3" t="s">
        <v>65</v>
      </c>
      <c r="B58" s="99">
        <f>SUM(B57/B56)</f>
        <v>6.8376068376068383E-2</v>
      </c>
      <c r="C58" s="99">
        <f t="shared" ref="C58:M58" si="13">SUM(C57/C56)</f>
        <v>5.6030389363722698E-2</v>
      </c>
      <c r="D58" s="99">
        <f t="shared" si="13"/>
        <v>3.8936372269705602E-2</v>
      </c>
      <c r="E58" s="99">
        <f t="shared" si="13"/>
        <v>0.10731244064577398</v>
      </c>
      <c r="F58" s="99">
        <f t="shared" si="13"/>
        <v>7.6923076923076927E-2</v>
      </c>
      <c r="G58" s="99">
        <f t="shared" si="13"/>
        <v>7.7872744539411204E-2</v>
      </c>
      <c r="H58" s="99">
        <f t="shared" si="13"/>
        <v>7.8822412155745494E-2</v>
      </c>
      <c r="I58" s="99">
        <f t="shared" si="13"/>
        <v>7.7872744539411204E-2</v>
      </c>
      <c r="J58" s="99">
        <f t="shared" si="13"/>
        <v>0.10826210826210826</v>
      </c>
      <c r="K58" s="99">
        <f t="shared" si="13"/>
        <v>8.8319088319088315E-2</v>
      </c>
      <c r="L58" s="99">
        <f t="shared" si="13"/>
        <v>0.10066476733143399</v>
      </c>
      <c r="M58" s="99">
        <f t="shared" si="13"/>
        <v>0.12060778727445394</v>
      </c>
      <c r="N58" s="99">
        <f>SUM(B58:M58)</f>
        <v>1</v>
      </c>
      <c r="O58" s="101" t="s">
        <v>56</v>
      </c>
    </row>
    <row r="59" spans="1:15" x14ac:dyDescent="0.25">
      <c r="A59" s="109" t="s">
        <v>69</v>
      </c>
      <c r="B59" s="102">
        <f t="shared" ref="B59:N59" si="14">SUM(B57-B64)/B57</f>
        <v>1</v>
      </c>
      <c r="C59" s="102">
        <f t="shared" si="14"/>
        <v>1</v>
      </c>
      <c r="D59" s="102">
        <f t="shared" si="14"/>
        <v>1</v>
      </c>
      <c r="E59" s="102">
        <f t="shared" si="14"/>
        <v>1</v>
      </c>
      <c r="F59" s="102">
        <f t="shared" si="14"/>
        <v>1</v>
      </c>
      <c r="G59" s="102">
        <f t="shared" si="14"/>
        <v>1</v>
      </c>
      <c r="H59" s="102">
        <f t="shared" si="14"/>
        <v>1</v>
      </c>
      <c r="I59" s="102">
        <f t="shared" si="14"/>
        <v>1</v>
      </c>
      <c r="J59" s="102">
        <f t="shared" si="14"/>
        <v>1</v>
      </c>
      <c r="K59" s="102">
        <f t="shared" si="14"/>
        <v>1</v>
      </c>
      <c r="L59" s="102">
        <f t="shared" si="14"/>
        <v>1</v>
      </c>
      <c r="M59" s="102">
        <f t="shared" si="14"/>
        <v>1</v>
      </c>
      <c r="N59" s="102">
        <f t="shared" si="14"/>
        <v>1</v>
      </c>
      <c r="O59" s="110">
        <f>SUM(N57-N64)</f>
        <v>1053</v>
      </c>
    </row>
    <row r="61" spans="1:15" x14ac:dyDescent="0.25">
      <c r="A61" s="108" t="s">
        <v>68</v>
      </c>
    </row>
    <row r="62" spans="1:15" x14ac:dyDescent="0.25">
      <c r="A62" s="101" t="s">
        <v>14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3" t="s">
        <v>66</v>
      </c>
      <c r="B63" s="1">
        <f>SUM(N63)</f>
        <v>0</v>
      </c>
      <c r="C63" s="1">
        <f t="shared" ref="C63:M63" si="15">SUM(B63)</f>
        <v>0</v>
      </c>
      <c r="D63" s="1">
        <f t="shared" si="15"/>
        <v>0</v>
      </c>
      <c r="E63" s="1">
        <f t="shared" si="15"/>
        <v>0</v>
      </c>
      <c r="F63" s="1">
        <f t="shared" si="15"/>
        <v>0</v>
      </c>
      <c r="G63" s="1">
        <f t="shared" si="15"/>
        <v>0</v>
      </c>
      <c r="H63" s="1">
        <f t="shared" si="15"/>
        <v>0</v>
      </c>
      <c r="I63" s="1">
        <f t="shared" si="15"/>
        <v>0</v>
      </c>
      <c r="J63" s="1">
        <f t="shared" si="15"/>
        <v>0</v>
      </c>
      <c r="K63" s="1">
        <f t="shared" si="15"/>
        <v>0</v>
      </c>
      <c r="L63" s="1">
        <f t="shared" si="15"/>
        <v>0</v>
      </c>
      <c r="M63" s="1">
        <f t="shared" si="15"/>
        <v>0</v>
      </c>
      <c r="N63" s="1">
        <f>SUM(N29)</f>
        <v>0</v>
      </c>
    </row>
    <row r="64" spans="1:15" x14ac:dyDescent="0.25">
      <c r="A64" s="3" t="s">
        <v>67</v>
      </c>
      <c r="B64" s="1">
        <f t="shared" ref="B64:M64" si="16">SUM(B29)</f>
        <v>0</v>
      </c>
      <c r="C64" s="1">
        <f t="shared" si="16"/>
        <v>0</v>
      </c>
      <c r="D64" s="1">
        <f t="shared" si="16"/>
        <v>0</v>
      </c>
      <c r="E64" s="1">
        <f t="shared" si="16"/>
        <v>0</v>
      </c>
      <c r="F64" s="1">
        <f t="shared" si="16"/>
        <v>0</v>
      </c>
      <c r="G64" s="1">
        <f t="shared" si="16"/>
        <v>0</v>
      </c>
      <c r="H64" s="1">
        <f t="shared" si="16"/>
        <v>0</v>
      </c>
      <c r="I64" s="1">
        <f t="shared" si="16"/>
        <v>0</v>
      </c>
      <c r="J64" s="1">
        <f t="shared" si="16"/>
        <v>0</v>
      </c>
      <c r="K64" s="1">
        <f t="shared" si="16"/>
        <v>0</v>
      </c>
      <c r="L64" s="1">
        <f t="shared" si="16"/>
        <v>0</v>
      </c>
      <c r="M64" s="1">
        <f t="shared" si="16"/>
        <v>0</v>
      </c>
      <c r="N64" s="1">
        <f>SUM(B64:M64)</f>
        <v>0</v>
      </c>
    </row>
    <row r="65" spans="1:14" x14ac:dyDescent="0.25">
      <c r="A65" s="3" t="s">
        <v>65</v>
      </c>
      <c r="B65" s="99" t="e">
        <f>SUM(B64/B63)</f>
        <v>#DIV/0!</v>
      </c>
      <c r="C65" s="99" t="e">
        <f t="shared" ref="C65:M65" si="17">SUM(C64/C63)</f>
        <v>#DIV/0!</v>
      </c>
      <c r="D65" s="99" t="e">
        <f t="shared" si="17"/>
        <v>#DIV/0!</v>
      </c>
      <c r="E65" s="99" t="e">
        <f t="shared" si="17"/>
        <v>#DIV/0!</v>
      </c>
      <c r="F65" s="99" t="e">
        <f t="shared" si="17"/>
        <v>#DIV/0!</v>
      </c>
      <c r="G65" s="99" t="e">
        <f t="shared" si="17"/>
        <v>#DIV/0!</v>
      </c>
      <c r="H65" s="99" t="e">
        <f t="shared" si="17"/>
        <v>#DIV/0!</v>
      </c>
      <c r="I65" s="99" t="e">
        <f t="shared" si="17"/>
        <v>#DIV/0!</v>
      </c>
      <c r="J65" s="99" t="e">
        <f t="shared" si="17"/>
        <v>#DIV/0!</v>
      </c>
      <c r="K65" s="99" t="e">
        <f t="shared" si="17"/>
        <v>#DIV/0!</v>
      </c>
      <c r="L65" s="99" t="e">
        <f t="shared" si="17"/>
        <v>#DIV/0!</v>
      </c>
      <c r="M65" s="99" t="e">
        <f t="shared" si="17"/>
        <v>#DIV/0!</v>
      </c>
      <c r="N65" s="99" t="e">
        <f>SUM(B65:M65)</f>
        <v>#DIV/0!</v>
      </c>
    </row>
  </sheetData>
  <sheetProtection algorithmName="SHA-512" hashValue="qEfJ8uCulmSMz3XnW2l7q0nbPc2ErhCH+vojOLrs2XxHG1emFk6dvBjbFWX5l0rram2siZsJuy5H/gr8LqIxeQ==" saltValue="Slq1TEnomiV/NyCRfRY4pQ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0FE06-0182-4C52-B9B5-953E01E55A2F}">
  <sheetPr>
    <tabColor rgb="FF00B0F0"/>
    <pageSetUpPr fitToPage="1"/>
  </sheetPr>
  <dimension ref="A1:Q65"/>
  <sheetViews>
    <sheetView topLeftCell="A8" workbookViewId="0">
      <selection activeCell="M27" sqref="M27"/>
    </sheetView>
  </sheetViews>
  <sheetFormatPr defaultRowHeight="15" x14ac:dyDescent="0.25"/>
  <cols>
    <col min="1" max="13" width="12.7109375" customWidth="1"/>
    <col min="14" max="14" width="15.7109375" customWidth="1"/>
    <col min="16" max="16" width="10.42578125" bestFit="1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75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7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7" ht="15.75" x14ac:dyDescent="0.25">
      <c r="A25" s="49" t="s">
        <v>171</v>
      </c>
      <c r="B25" s="1">
        <v>475</v>
      </c>
      <c r="C25" s="1">
        <v>467</v>
      </c>
      <c r="D25" s="203">
        <v>509</v>
      </c>
      <c r="E25" s="111">
        <f t="shared" ref="E25:M25" si="0">SUM(E39)</f>
        <v>754.36080000000004</v>
      </c>
      <c r="F25" s="111">
        <f t="shared" si="0"/>
        <v>787.56330000000003</v>
      </c>
      <c r="G25" s="111">
        <f t="shared" si="0"/>
        <v>679.98720000000003</v>
      </c>
      <c r="H25" s="111">
        <f t="shared" si="0"/>
        <v>881.85839999999996</v>
      </c>
      <c r="I25" s="111">
        <f t="shared" si="0"/>
        <v>844.67160000000013</v>
      </c>
      <c r="J25" s="111">
        <f t="shared" si="0"/>
        <v>754.36080000000004</v>
      </c>
      <c r="K25" s="111">
        <f t="shared" si="0"/>
        <v>875.21789999999999</v>
      </c>
      <c r="L25" s="111">
        <f t="shared" si="0"/>
        <v>753.03269999999998</v>
      </c>
      <c r="M25" s="111">
        <f t="shared" si="0"/>
        <v>626.86320000000001</v>
      </c>
      <c r="N25" s="200">
        <f>SUM(B25:M25)</f>
        <v>8408.9159</v>
      </c>
      <c r="O25" s="122">
        <f>SUM(N25-N26)</f>
        <v>1944.9159</v>
      </c>
      <c r="P25" s="123">
        <f>SUM(O25/N26)</f>
        <v>0.30088426670792079</v>
      </c>
    </row>
    <row r="26" spans="1:17" ht="15.75" x14ac:dyDescent="0.25">
      <c r="A26" s="49" t="s">
        <v>61</v>
      </c>
      <c r="B26" s="1">
        <v>323</v>
      </c>
      <c r="C26" s="1">
        <v>390</v>
      </c>
      <c r="D26" s="1">
        <v>512</v>
      </c>
      <c r="E26" s="1">
        <v>568</v>
      </c>
      <c r="F26" s="1">
        <v>593</v>
      </c>
      <c r="G26" s="1">
        <v>512</v>
      </c>
      <c r="H26" s="1">
        <v>664</v>
      </c>
      <c r="I26" s="1">
        <v>636</v>
      </c>
      <c r="J26" s="1">
        <v>568</v>
      </c>
      <c r="K26" s="1">
        <v>659</v>
      </c>
      <c r="L26" s="1">
        <v>567</v>
      </c>
      <c r="M26" s="201">
        <v>472</v>
      </c>
      <c r="N26" s="2">
        <f>SUM(B26:M26)</f>
        <v>6464</v>
      </c>
      <c r="O26" s="122">
        <f>SUM(N26-N27)</f>
        <v>1597</v>
      </c>
      <c r="P26" s="123">
        <f>SUM(O26/N27)</f>
        <v>0.32812821039654816</v>
      </c>
      <c r="Q26" s="90"/>
    </row>
    <row r="27" spans="1:17" ht="15.75" x14ac:dyDescent="0.25">
      <c r="A27" s="49" t="s">
        <v>34</v>
      </c>
      <c r="B27" s="1">
        <v>364</v>
      </c>
      <c r="C27" s="1">
        <v>480</v>
      </c>
      <c r="D27" s="1">
        <v>455</v>
      </c>
      <c r="E27" s="1">
        <v>556</v>
      </c>
      <c r="F27" s="1">
        <v>475</v>
      </c>
      <c r="G27" s="1">
        <v>408</v>
      </c>
      <c r="H27" s="1">
        <v>352</v>
      </c>
      <c r="I27" s="1">
        <v>242</v>
      </c>
      <c r="J27" s="1">
        <v>380</v>
      </c>
      <c r="K27" s="193">
        <v>336</v>
      </c>
      <c r="L27" s="1">
        <v>405</v>
      </c>
      <c r="M27" s="1">
        <v>414</v>
      </c>
      <c r="N27" s="2">
        <f t="shared" ref="N27:N29" si="1">SUM(B27:M27)</f>
        <v>4867</v>
      </c>
      <c r="O27" s="122">
        <f>SUM(N27-N28)</f>
        <v>2386</v>
      </c>
      <c r="P27" s="123">
        <f>SUM(O27/N28)</f>
        <v>0.9617089883111648</v>
      </c>
    </row>
    <row r="28" spans="1:17" ht="15.75" x14ac:dyDescent="0.25">
      <c r="A28" s="49" t="s">
        <v>31</v>
      </c>
      <c r="B28" s="115">
        <v>125</v>
      </c>
      <c r="C28" s="1">
        <v>123</v>
      </c>
      <c r="D28" s="1">
        <v>113</v>
      </c>
      <c r="E28" s="1">
        <v>142</v>
      </c>
      <c r="F28" s="1">
        <v>125</v>
      </c>
      <c r="G28" s="1">
        <v>169</v>
      </c>
      <c r="H28" s="1">
        <v>154</v>
      </c>
      <c r="I28" s="1">
        <v>116</v>
      </c>
      <c r="J28" s="73">
        <v>285</v>
      </c>
      <c r="K28" s="1">
        <v>336</v>
      </c>
      <c r="L28" s="1">
        <v>342</v>
      </c>
      <c r="M28" s="1">
        <v>451</v>
      </c>
      <c r="N28" s="2">
        <f t="shared" si="1"/>
        <v>2481</v>
      </c>
      <c r="O28" s="122">
        <f>SUM(N28-N29)</f>
        <v>804</v>
      </c>
      <c r="P28" s="123">
        <f>SUM(O28/N29)</f>
        <v>0.47942754919499103</v>
      </c>
    </row>
    <row r="29" spans="1:17" ht="15.75" x14ac:dyDescent="0.25">
      <c r="A29" s="49" t="s">
        <v>14</v>
      </c>
      <c r="B29" s="1">
        <v>110</v>
      </c>
      <c r="C29" s="1">
        <v>131</v>
      </c>
      <c r="D29" s="1">
        <v>126</v>
      </c>
      <c r="E29" s="1">
        <v>130</v>
      </c>
      <c r="F29" s="1">
        <v>119</v>
      </c>
      <c r="G29" s="1">
        <v>148</v>
      </c>
      <c r="H29" s="1">
        <v>127</v>
      </c>
      <c r="I29" s="1">
        <v>136</v>
      </c>
      <c r="J29" s="116">
        <v>123</v>
      </c>
      <c r="K29" s="1">
        <v>175</v>
      </c>
      <c r="L29" s="1">
        <v>169</v>
      </c>
      <c r="M29" s="1">
        <v>183</v>
      </c>
      <c r="N29" s="2">
        <f t="shared" si="1"/>
        <v>1677</v>
      </c>
      <c r="O29" s="124"/>
      <c r="P29" s="125"/>
    </row>
    <row r="31" spans="1:17" x14ac:dyDescent="0.25">
      <c r="A31" s="107" t="s">
        <v>63</v>
      </c>
    </row>
    <row r="32" spans="1:17" ht="15.75" x14ac:dyDescent="0.25">
      <c r="A32" s="114" t="s">
        <v>174</v>
      </c>
      <c r="B32" s="111"/>
      <c r="C32" s="111"/>
      <c r="D32" s="111"/>
      <c r="E32" s="111"/>
      <c r="F32" s="111"/>
      <c r="G32" s="111"/>
      <c r="H32" s="111"/>
    </row>
    <row r="33" spans="1:15" x14ac:dyDescent="0.25">
      <c r="A33" s="101" t="s">
        <v>61</v>
      </c>
      <c r="B33" s="96" t="s">
        <v>43</v>
      </c>
      <c r="C33" s="96" t="s">
        <v>44</v>
      </c>
      <c r="D33" s="96" t="s">
        <v>45</v>
      </c>
      <c r="E33" s="96" t="s">
        <v>46</v>
      </c>
      <c r="F33" s="96" t="s">
        <v>47</v>
      </c>
      <c r="G33" s="96" t="s">
        <v>48</v>
      </c>
      <c r="H33" s="96" t="s">
        <v>49</v>
      </c>
      <c r="I33" s="96" t="s">
        <v>50</v>
      </c>
      <c r="J33" s="96" t="s">
        <v>27</v>
      </c>
      <c r="K33" s="96" t="s">
        <v>51</v>
      </c>
      <c r="L33" s="96" t="s">
        <v>52</v>
      </c>
      <c r="M33" s="96" t="s">
        <v>53</v>
      </c>
      <c r="N33" s="97" t="s">
        <v>54</v>
      </c>
    </row>
    <row r="34" spans="1:15" hidden="1" x14ac:dyDescent="0.25">
      <c r="A34" s="3" t="s">
        <v>66</v>
      </c>
      <c r="B34" s="1">
        <f>SUM(N34)</f>
        <v>8408.9159</v>
      </c>
      <c r="C34" s="1">
        <f t="shared" ref="C34" si="2">SUM(B34)</f>
        <v>8408.9159</v>
      </c>
      <c r="D34" s="1">
        <f t="shared" ref="D34" si="3">SUM(C34)</f>
        <v>8408.9159</v>
      </c>
      <c r="E34" s="1">
        <f t="shared" ref="E34" si="4">SUM(D34)</f>
        <v>8408.9159</v>
      </c>
      <c r="F34" s="1">
        <f t="shared" ref="F34" si="5">SUM(E34)</f>
        <v>8408.9159</v>
      </c>
      <c r="G34" s="1">
        <f t="shared" ref="G34" si="6">SUM(F34)</f>
        <v>8408.9159</v>
      </c>
      <c r="H34" s="1">
        <f t="shared" ref="H34" si="7">SUM(G34)</f>
        <v>8408.9159</v>
      </c>
      <c r="I34" s="1">
        <f t="shared" ref="I34" si="8">SUM(H34)</f>
        <v>8408.9159</v>
      </c>
      <c r="J34" s="1">
        <f t="shared" ref="J34" si="9">SUM(I34)</f>
        <v>8408.9159</v>
      </c>
      <c r="K34" s="1">
        <f t="shared" ref="K34" si="10">SUM(J34)</f>
        <v>8408.9159</v>
      </c>
      <c r="L34" s="1">
        <f t="shared" ref="L34" si="11">SUM(K34)</f>
        <v>8408.9159</v>
      </c>
      <c r="M34" s="1">
        <f t="shared" ref="M34" si="12">SUM(L34)</f>
        <v>8408.9159</v>
      </c>
      <c r="N34" s="1">
        <f>SUM(N25)</f>
        <v>8408.9159</v>
      </c>
    </row>
    <row r="35" spans="1:15" x14ac:dyDescent="0.25">
      <c r="A35" s="3" t="s">
        <v>67</v>
      </c>
      <c r="B35" s="1">
        <f>SUM(B25)</f>
        <v>475</v>
      </c>
      <c r="C35" s="1">
        <f t="shared" ref="C35:M35" si="13">SUM(C25)</f>
        <v>467</v>
      </c>
      <c r="D35" s="1">
        <f t="shared" si="13"/>
        <v>509</v>
      </c>
      <c r="E35" s="1">
        <f t="shared" si="13"/>
        <v>754.36080000000004</v>
      </c>
      <c r="F35" s="1">
        <f t="shared" si="13"/>
        <v>787.56330000000003</v>
      </c>
      <c r="G35" s="1">
        <f t="shared" si="13"/>
        <v>679.98720000000003</v>
      </c>
      <c r="H35" s="1">
        <f t="shared" si="13"/>
        <v>881.85839999999996</v>
      </c>
      <c r="I35" s="1">
        <f t="shared" si="13"/>
        <v>844.67160000000013</v>
      </c>
      <c r="J35" s="1">
        <f t="shared" si="13"/>
        <v>754.36080000000004</v>
      </c>
      <c r="K35" s="1">
        <f t="shared" si="13"/>
        <v>875.21789999999999</v>
      </c>
      <c r="L35" s="1">
        <f t="shared" si="13"/>
        <v>753.03269999999998</v>
      </c>
      <c r="M35" s="1">
        <f t="shared" si="13"/>
        <v>626.86320000000001</v>
      </c>
      <c r="N35" s="1">
        <f>SUM(B35:M35)</f>
        <v>8408.9159</v>
      </c>
    </row>
    <row r="36" spans="1:15" x14ac:dyDescent="0.25">
      <c r="A36" s="3" t="s">
        <v>65</v>
      </c>
      <c r="B36" s="99">
        <f>SUM(B35/B34)</f>
        <v>5.6487662101603373E-2</v>
      </c>
      <c r="C36" s="99">
        <f t="shared" ref="C36:M36" si="14">SUM(C35/C34)</f>
        <v>5.5536290950418475E-2</v>
      </c>
      <c r="D36" s="99">
        <f t="shared" si="14"/>
        <v>6.0530989494139188E-2</v>
      </c>
      <c r="E36" s="99">
        <f t="shared" si="14"/>
        <v>8.9709637838095158E-2</v>
      </c>
      <c r="F36" s="99">
        <f t="shared" si="14"/>
        <v>9.3658125418997235E-2</v>
      </c>
      <c r="G36" s="99">
        <f t="shared" si="14"/>
        <v>8.0865025656874506E-2</v>
      </c>
      <c r="H36" s="99">
        <f t="shared" si="14"/>
        <v>0.10487183014875913</v>
      </c>
      <c r="I36" s="99">
        <f t="shared" si="14"/>
        <v>0.10044952405814882</v>
      </c>
      <c r="J36" s="99">
        <f t="shared" si="14"/>
        <v>8.9709637838095158E-2</v>
      </c>
      <c r="K36" s="99">
        <f t="shared" si="14"/>
        <v>0.10408213263257871</v>
      </c>
      <c r="L36" s="99">
        <f t="shared" si="14"/>
        <v>8.955169833485907E-2</v>
      </c>
      <c r="M36" s="99">
        <f t="shared" si="14"/>
        <v>7.4547445527431186E-2</v>
      </c>
      <c r="N36" s="99">
        <f>SUM(B36:M36)</f>
        <v>0.99999999999999989</v>
      </c>
      <c r="O36" s="101" t="s">
        <v>56</v>
      </c>
    </row>
    <row r="37" spans="1:15" x14ac:dyDescent="0.25">
      <c r="A37" s="109" t="s">
        <v>69</v>
      </c>
      <c r="B37" s="102">
        <f t="shared" ref="B37:N37" si="15">SUM(B35-B43)/B43</f>
        <v>0.47058823529411764</v>
      </c>
      <c r="C37" s="102">
        <f t="shared" si="15"/>
        <v>0.19743589743589743</v>
      </c>
      <c r="D37" s="102">
        <f t="shared" si="15"/>
        <v>-5.859375E-3</v>
      </c>
      <c r="E37" s="102">
        <f t="shared" si="15"/>
        <v>0.32810000000000006</v>
      </c>
      <c r="F37" s="102">
        <f t="shared" si="15"/>
        <v>0.32810000000000006</v>
      </c>
      <c r="G37" s="102">
        <f t="shared" si="15"/>
        <v>0.32810000000000006</v>
      </c>
      <c r="H37" s="102">
        <f t="shared" si="15"/>
        <v>0.32809999999999995</v>
      </c>
      <c r="I37" s="102">
        <f t="shared" si="15"/>
        <v>0.32810000000000022</v>
      </c>
      <c r="J37" s="102">
        <f t="shared" si="15"/>
        <v>0.32810000000000006</v>
      </c>
      <c r="K37" s="102">
        <f t="shared" si="15"/>
        <v>0.3281</v>
      </c>
      <c r="L37" s="102">
        <f t="shared" si="15"/>
        <v>0.32809999999999995</v>
      </c>
      <c r="M37" s="102">
        <f t="shared" si="15"/>
        <v>0.3281</v>
      </c>
      <c r="N37" s="102">
        <f t="shared" si="15"/>
        <v>0.30088426670792079</v>
      </c>
      <c r="O37" s="110">
        <f>SUM(O25)</f>
        <v>1944.9159</v>
      </c>
    </row>
    <row r="38" spans="1:15" hidden="1" x14ac:dyDescent="0.25">
      <c r="A38" s="205" t="s">
        <v>181</v>
      </c>
      <c r="B38" s="111">
        <f>SUM(N26*1.3281)</f>
        <v>8584.8384000000005</v>
      </c>
      <c r="C38" s="111">
        <f>SUM(B38)</f>
        <v>8584.8384000000005</v>
      </c>
      <c r="D38" s="111">
        <f t="shared" ref="D38:N38" si="16">SUM(C38)</f>
        <v>8584.8384000000005</v>
      </c>
      <c r="E38" s="111">
        <f t="shared" si="16"/>
        <v>8584.8384000000005</v>
      </c>
      <c r="F38" s="111">
        <f t="shared" si="16"/>
        <v>8584.8384000000005</v>
      </c>
      <c r="G38" s="111">
        <f t="shared" si="16"/>
        <v>8584.8384000000005</v>
      </c>
      <c r="H38" s="111">
        <f t="shared" si="16"/>
        <v>8584.8384000000005</v>
      </c>
      <c r="I38" s="111">
        <f t="shared" si="16"/>
        <v>8584.8384000000005</v>
      </c>
      <c r="J38" s="111">
        <f t="shared" si="16"/>
        <v>8584.8384000000005</v>
      </c>
      <c r="K38" s="111">
        <f t="shared" si="16"/>
        <v>8584.8384000000005</v>
      </c>
      <c r="L38" s="111">
        <f t="shared" si="16"/>
        <v>8584.8384000000005</v>
      </c>
      <c r="M38" s="111">
        <f t="shared" si="16"/>
        <v>8584.8384000000005</v>
      </c>
      <c r="N38" s="111">
        <f t="shared" si="16"/>
        <v>8584.8384000000005</v>
      </c>
    </row>
    <row r="39" spans="1:15" x14ac:dyDescent="0.25">
      <c r="A39" s="204" t="s">
        <v>180</v>
      </c>
      <c r="B39" s="111">
        <f>SUM(B38*B44)</f>
        <v>428.97630000000004</v>
      </c>
      <c r="C39" s="111">
        <f t="shared" ref="C39:M39" si="17">SUM(C38*C44)</f>
        <v>517.95900000000006</v>
      </c>
      <c r="D39" s="111">
        <f t="shared" si="17"/>
        <v>679.98720000000003</v>
      </c>
      <c r="E39" s="111">
        <f t="shared" si="17"/>
        <v>754.36080000000004</v>
      </c>
      <c r="F39" s="111">
        <f t="shared" si="17"/>
        <v>787.56330000000003</v>
      </c>
      <c r="G39" s="111">
        <f t="shared" si="17"/>
        <v>679.98720000000003</v>
      </c>
      <c r="H39" s="111">
        <f t="shared" si="17"/>
        <v>881.85839999999996</v>
      </c>
      <c r="I39" s="111">
        <f t="shared" si="17"/>
        <v>844.67160000000013</v>
      </c>
      <c r="J39" s="111">
        <f t="shared" si="17"/>
        <v>754.36080000000004</v>
      </c>
      <c r="K39" s="111">
        <f t="shared" si="17"/>
        <v>875.21789999999999</v>
      </c>
      <c r="L39" s="111">
        <f t="shared" si="17"/>
        <v>753.03269999999998</v>
      </c>
      <c r="M39" s="111">
        <f t="shared" si="17"/>
        <v>626.86320000000001</v>
      </c>
      <c r="N39" s="111">
        <f>SUM(B39:M39)</f>
        <v>8584.8383999999987</v>
      </c>
    </row>
    <row r="40" spans="1:15" ht="15.75" x14ac:dyDescent="0.25">
      <c r="A40" s="98" t="s">
        <v>173</v>
      </c>
      <c r="B40" s="1"/>
      <c r="C40" s="1"/>
      <c r="D40" s="1"/>
      <c r="E40" s="1"/>
      <c r="F40" s="1"/>
      <c r="G40" s="1"/>
      <c r="H40" s="1"/>
    </row>
    <row r="41" spans="1:15" x14ac:dyDescent="0.25">
      <c r="A41" s="101" t="s">
        <v>61</v>
      </c>
      <c r="B41" s="96" t="s">
        <v>43</v>
      </c>
      <c r="C41" s="96" t="s">
        <v>44</v>
      </c>
      <c r="D41" s="96" t="s">
        <v>45</v>
      </c>
      <c r="E41" s="96" t="s">
        <v>46</v>
      </c>
      <c r="F41" s="96" t="s">
        <v>47</v>
      </c>
      <c r="G41" s="96" t="s">
        <v>48</v>
      </c>
      <c r="H41" s="96" t="s">
        <v>49</v>
      </c>
      <c r="I41" s="96" t="s">
        <v>50</v>
      </c>
      <c r="J41" s="96" t="s">
        <v>27</v>
      </c>
      <c r="K41" s="96" t="s">
        <v>51</v>
      </c>
      <c r="L41" s="96" t="s">
        <v>52</v>
      </c>
      <c r="M41" s="96" t="s">
        <v>53</v>
      </c>
      <c r="N41" s="97" t="s">
        <v>54</v>
      </c>
    </row>
    <row r="42" spans="1:15" hidden="1" x14ac:dyDescent="0.25">
      <c r="A42" s="3" t="s">
        <v>66</v>
      </c>
      <c r="B42" s="1">
        <f>SUM(N42)</f>
        <v>6464</v>
      </c>
      <c r="C42" s="1">
        <f t="shared" ref="C42:M42" si="18">SUM(B42)</f>
        <v>6464</v>
      </c>
      <c r="D42" s="1">
        <f t="shared" si="18"/>
        <v>6464</v>
      </c>
      <c r="E42" s="1">
        <f t="shared" si="18"/>
        <v>6464</v>
      </c>
      <c r="F42" s="1">
        <f t="shared" si="18"/>
        <v>6464</v>
      </c>
      <c r="G42" s="1">
        <f t="shared" si="18"/>
        <v>6464</v>
      </c>
      <c r="H42" s="1">
        <f t="shared" si="18"/>
        <v>6464</v>
      </c>
      <c r="I42" s="1">
        <f t="shared" si="18"/>
        <v>6464</v>
      </c>
      <c r="J42" s="1">
        <f t="shared" si="18"/>
        <v>6464</v>
      </c>
      <c r="K42" s="1">
        <f t="shared" si="18"/>
        <v>6464</v>
      </c>
      <c r="L42" s="1">
        <f t="shared" si="18"/>
        <v>6464</v>
      </c>
      <c r="M42" s="1">
        <f t="shared" si="18"/>
        <v>6464</v>
      </c>
      <c r="N42" s="1">
        <f>SUM(N26)</f>
        <v>6464</v>
      </c>
    </row>
    <row r="43" spans="1:15" x14ac:dyDescent="0.25">
      <c r="A43" s="3" t="s">
        <v>67</v>
      </c>
      <c r="B43" s="1">
        <f t="shared" ref="B43:M43" si="19">SUM(B26)</f>
        <v>323</v>
      </c>
      <c r="C43" s="1">
        <f t="shared" si="19"/>
        <v>390</v>
      </c>
      <c r="D43" s="1">
        <f t="shared" si="19"/>
        <v>512</v>
      </c>
      <c r="E43" s="1">
        <f t="shared" si="19"/>
        <v>568</v>
      </c>
      <c r="F43" s="1">
        <f t="shared" si="19"/>
        <v>593</v>
      </c>
      <c r="G43" s="1">
        <f t="shared" si="19"/>
        <v>512</v>
      </c>
      <c r="H43" s="1">
        <f t="shared" si="19"/>
        <v>664</v>
      </c>
      <c r="I43" s="1">
        <f t="shared" si="19"/>
        <v>636</v>
      </c>
      <c r="J43" s="1">
        <f t="shared" si="19"/>
        <v>568</v>
      </c>
      <c r="K43" s="1">
        <f t="shared" si="19"/>
        <v>659</v>
      </c>
      <c r="L43" s="1">
        <f t="shared" si="19"/>
        <v>567</v>
      </c>
      <c r="M43" s="1">
        <f t="shared" si="19"/>
        <v>472</v>
      </c>
      <c r="N43" s="1">
        <f>SUM(B43:M43)</f>
        <v>6464</v>
      </c>
    </row>
    <row r="44" spans="1:15" x14ac:dyDescent="0.25">
      <c r="A44" s="3" t="s">
        <v>65</v>
      </c>
      <c r="B44" s="99">
        <f>SUM(B43/B42)</f>
        <v>4.9969059405940597E-2</v>
      </c>
      <c r="C44" s="99">
        <f t="shared" ref="C44:M44" si="20">SUM(C43/C42)</f>
        <v>6.0334158415841582E-2</v>
      </c>
      <c r="D44" s="99">
        <f t="shared" si="20"/>
        <v>7.9207920792079209E-2</v>
      </c>
      <c r="E44" s="99">
        <f t="shared" si="20"/>
        <v>8.7871287128712866E-2</v>
      </c>
      <c r="F44" s="99">
        <f t="shared" si="20"/>
        <v>9.1738861386138612E-2</v>
      </c>
      <c r="G44" s="99">
        <f t="shared" si="20"/>
        <v>7.9207920792079209E-2</v>
      </c>
      <c r="H44" s="99">
        <f t="shared" si="20"/>
        <v>0.10272277227722772</v>
      </c>
      <c r="I44" s="99">
        <f t="shared" si="20"/>
        <v>9.8391089108910895E-2</v>
      </c>
      <c r="J44" s="99">
        <f t="shared" si="20"/>
        <v>8.7871287128712866E-2</v>
      </c>
      <c r="K44" s="99">
        <f t="shared" si="20"/>
        <v>0.10194925742574257</v>
      </c>
      <c r="L44" s="99">
        <f t="shared" si="20"/>
        <v>8.7716584158415836E-2</v>
      </c>
      <c r="M44" s="99">
        <f t="shared" si="20"/>
        <v>7.3019801980198015E-2</v>
      </c>
      <c r="N44" s="99">
        <f>SUM(B44:M44)</f>
        <v>1</v>
      </c>
      <c r="O44" s="101" t="s">
        <v>56</v>
      </c>
    </row>
    <row r="45" spans="1:15" x14ac:dyDescent="0.25">
      <c r="A45" s="109" t="s">
        <v>69</v>
      </c>
      <c r="B45" s="102">
        <f t="shared" ref="B45:N45" si="21">SUM(B43-B50)/B50</f>
        <v>-0.11263736263736264</v>
      </c>
      <c r="C45" s="102">
        <f t="shared" si="21"/>
        <v>-0.1875</v>
      </c>
      <c r="D45" s="102">
        <f t="shared" si="21"/>
        <v>0.12527472527472527</v>
      </c>
      <c r="E45" s="102">
        <f t="shared" si="21"/>
        <v>2.1582733812949641E-2</v>
      </c>
      <c r="F45" s="102">
        <f t="shared" si="21"/>
        <v>0.24842105263157896</v>
      </c>
      <c r="G45" s="102">
        <f t="shared" si="21"/>
        <v>0.25490196078431371</v>
      </c>
      <c r="H45" s="102">
        <f t="shared" si="21"/>
        <v>0.88636363636363635</v>
      </c>
      <c r="I45" s="102">
        <f t="shared" si="21"/>
        <v>1.6280991735537189</v>
      </c>
      <c r="J45" s="102">
        <f t="shared" si="21"/>
        <v>0.49473684210526314</v>
      </c>
      <c r="K45" s="102">
        <f t="shared" si="21"/>
        <v>0.96130952380952384</v>
      </c>
      <c r="L45" s="102">
        <f t="shared" si="21"/>
        <v>0.4</v>
      </c>
      <c r="M45" s="102">
        <f t="shared" si="21"/>
        <v>0.14009661835748793</v>
      </c>
      <c r="N45" s="102">
        <f t="shared" si="21"/>
        <v>0.32812821039654816</v>
      </c>
      <c r="O45" s="110">
        <f>SUM(N43-N50)</f>
        <v>1597</v>
      </c>
    </row>
    <row r="47" spans="1:15" ht="15.75" x14ac:dyDescent="0.25">
      <c r="A47" s="98" t="s">
        <v>64</v>
      </c>
    </row>
    <row r="48" spans="1:15" x14ac:dyDescent="0.25">
      <c r="A48" s="101" t="s">
        <v>34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4867</v>
      </c>
      <c r="C49" s="1">
        <f t="shared" ref="C49:M49" si="22">SUM(B49)</f>
        <v>4867</v>
      </c>
      <c r="D49" s="1">
        <f t="shared" si="22"/>
        <v>4867</v>
      </c>
      <c r="E49" s="1">
        <f t="shared" si="22"/>
        <v>4867</v>
      </c>
      <c r="F49" s="1">
        <f t="shared" si="22"/>
        <v>4867</v>
      </c>
      <c r="G49" s="1">
        <f t="shared" si="22"/>
        <v>4867</v>
      </c>
      <c r="H49" s="1">
        <f t="shared" si="22"/>
        <v>4867</v>
      </c>
      <c r="I49" s="1">
        <f t="shared" si="22"/>
        <v>4867</v>
      </c>
      <c r="J49" s="1">
        <f t="shared" si="22"/>
        <v>4867</v>
      </c>
      <c r="K49" s="1">
        <f t="shared" si="22"/>
        <v>4867</v>
      </c>
      <c r="L49" s="1">
        <f t="shared" si="22"/>
        <v>4867</v>
      </c>
      <c r="M49" s="1">
        <f t="shared" si="22"/>
        <v>4867</v>
      </c>
      <c r="N49" s="1">
        <f>SUM(N27)</f>
        <v>4867</v>
      </c>
    </row>
    <row r="50" spans="1:15" x14ac:dyDescent="0.25">
      <c r="A50" s="3" t="s">
        <v>67</v>
      </c>
      <c r="B50" s="1">
        <f t="shared" ref="B50:M50" si="23">SUM(B27)</f>
        <v>364</v>
      </c>
      <c r="C50" s="1">
        <f t="shared" si="23"/>
        <v>480</v>
      </c>
      <c r="D50" s="1">
        <f t="shared" si="23"/>
        <v>455</v>
      </c>
      <c r="E50" s="1">
        <f t="shared" si="23"/>
        <v>556</v>
      </c>
      <c r="F50" s="1">
        <f t="shared" si="23"/>
        <v>475</v>
      </c>
      <c r="G50" s="1">
        <f t="shared" si="23"/>
        <v>408</v>
      </c>
      <c r="H50" s="1">
        <f t="shared" si="23"/>
        <v>352</v>
      </c>
      <c r="I50" s="1">
        <f t="shared" si="23"/>
        <v>242</v>
      </c>
      <c r="J50" s="1">
        <f t="shared" si="23"/>
        <v>380</v>
      </c>
      <c r="K50" s="1">
        <f t="shared" si="23"/>
        <v>336</v>
      </c>
      <c r="L50" s="1">
        <f t="shared" si="23"/>
        <v>405</v>
      </c>
      <c r="M50" s="1">
        <f t="shared" si="23"/>
        <v>414</v>
      </c>
      <c r="N50" s="1">
        <f>SUM(B50:M50)</f>
        <v>4867</v>
      </c>
    </row>
    <row r="51" spans="1:15" x14ac:dyDescent="0.25">
      <c r="A51" s="3" t="s">
        <v>65</v>
      </c>
      <c r="B51" s="99">
        <f>SUM(B50/B49)</f>
        <v>7.4789397986439285E-2</v>
      </c>
      <c r="C51" s="99">
        <f t="shared" ref="C51:M51" si="24">SUM(C50/C49)</f>
        <v>9.8623381960139714E-2</v>
      </c>
      <c r="D51" s="99">
        <f t="shared" si="24"/>
        <v>9.348674748304911E-2</v>
      </c>
      <c r="E51" s="99">
        <f t="shared" si="24"/>
        <v>0.11423875077049517</v>
      </c>
      <c r="F51" s="99">
        <f t="shared" si="24"/>
        <v>9.759605506472159E-2</v>
      </c>
      <c r="G51" s="99">
        <f t="shared" si="24"/>
        <v>8.3829874666118756E-2</v>
      </c>
      <c r="H51" s="99">
        <f t="shared" si="24"/>
        <v>7.2323813437435797E-2</v>
      </c>
      <c r="I51" s="99">
        <f t="shared" si="24"/>
        <v>4.9722621738237105E-2</v>
      </c>
      <c r="J51" s="99">
        <f t="shared" si="24"/>
        <v>7.8076844051777269E-2</v>
      </c>
      <c r="K51" s="99">
        <f t="shared" si="24"/>
        <v>6.9036367372097798E-2</v>
      </c>
      <c r="L51" s="99">
        <f t="shared" si="24"/>
        <v>8.3213478528867887E-2</v>
      </c>
      <c r="M51" s="99">
        <f t="shared" si="24"/>
        <v>8.5062666940620507E-2</v>
      </c>
      <c r="N51" s="99">
        <f>SUM(B51:M51)</f>
        <v>1</v>
      </c>
      <c r="O51" s="101" t="s">
        <v>56</v>
      </c>
    </row>
    <row r="52" spans="1:15" x14ac:dyDescent="0.25">
      <c r="A52" s="109" t="s">
        <v>69</v>
      </c>
      <c r="B52" s="102">
        <f t="shared" ref="B52:N52" si="25">SUM(B50-B57)/B57</f>
        <v>1.9119999999999999</v>
      </c>
      <c r="C52" s="102">
        <f t="shared" si="25"/>
        <v>2.9024390243902438</v>
      </c>
      <c r="D52" s="102">
        <f t="shared" si="25"/>
        <v>3.0265486725663715</v>
      </c>
      <c r="E52" s="102">
        <f t="shared" si="25"/>
        <v>2.915492957746479</v>
      </c>
      <c r="F52" s="102">
        <f t="shared" si="25"/>
        <v>2.8</v>
      </c>
      <c r="G52" s="102">
        <f t="shared" si="25"/>
        <v>1.4142011834319526</v>
      </c>
      <c r="H52" s="102">
        <f t="shared" si="25"/>
        <v>1.2857142857142858</v>
      </c>
      <c r="I52" s="102">
        <f t="shared" si="25"/>
        <v>1.0862068965517242</v>
      </c>
      <c r="J52" s="102">
        <f t="shared" si="25"/>
        <v>0.33333333333333331</v>
      </c>
      <c r="K52" s="102">
        <f t="shared" si="25"/>
        <v>0</v>
      </c>
      <c r="L52" s="102">
        <f t="shared" si="25"/>
        <v>0.18421052631578946</v>
      </c>
      <c r="M52" s="102">
        <f t="shared" si="25"/>
        <v>-8.2039911308203997E-2</v>
      </c>
      <c r="N52" s="102">
        <f t="shared" si="25"/>
        <v>0.9617089883111648</v>
      </c>
      <c r="O52" s="110">
        <f>SUM(N50-N57)</f>
        <v>2386</v>
      </c>
    </row>
    <row r="54" spans="1:15" ht="15.75" x14ac:dyDescent="0.25">
      <c r="A54" s="98" t="s">
        <v>55</v>
      </c>
    </row>
    <row r="55" spans="1:15" x14ac:dyDescent="0.25">
      <c r="A55" s="101" t="s">
        <v>31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3" t="s">
        <v>66</v>
      </c>
      <c r="B56" s="1">
        <f>SUM(N56)</f>
        <v>2481</v>
      </c>
      <c r="C56" s="1">
        <f t="shared" ref="C56:M56" si="26">SUM(B56)</f>
        <v>2481</v>
      </c>
      <c r="D56" s="1">
        <f t="shared" si="26"/>
        <v>2481</v>
      </c>
      <c r="E56" s="1">
        <f t="shared" si="26"/>
        <v>2481</v>
      </c>
      <c r="F56" s="1">
        <f t="shared" si="26"/>
        <v>2481</v>
      </c>
      <c r="G56" s="1">
        <f t="shared" si="26"/>
        <v>2481</v>
      </c>
      <c r="H56" s="1">
        <f t="shared" si="26"/>
        <v>2481</v>
      </c>
      <c r="I56" s="1">
        <f t="shared" si="26"/>
        <v>2481</v>
      </c>
      <c r="J56" s="1">
        <f t="shared" si="26"/>
        <v>2481</v>
      </c>
      <c r="K56" s="1">
        <f t="shared" si="26"/>
        <v>2481</v>
      </c>
      <c r="L56" s="1">
        <f t="shared" si="26"/>
        <v>2481</v>
      </c>
      <c r="M56" s="1">
        <f t="shared" si="26"/>
        <v>2481</v>
      </c>
      <c r="N56" s="1">
        <f>SUM(N28)</f>
        <v>2481</v>
      </c>
    </row>
    <row r="57" spans="1:15" x14ac:dyDescent="0.25">
      <c r="A57" s="3" t="s">
        <v>67</v>
      </c>
      <c r="B57" s="1">
        <f t="shared" ref="B57:M57" si="27">SUM(B28)</f>
        <v>125</v>
      </c>
      <c r="C57" s="1">
        <f t="shared" si="27"/>
        <v>123</v>
      </c>
      <c r="D57" s="1">
        <f t="shared" si="27"/>
        <v>113</v>
      </c>
      <c r="E57" s="1">
        <f t="shared" si="27"/>
        <v>142</v>
      </c>
      <c r="F57" s="1">
        <f t="shared" si="27"/>
        <v>125</v>
      </c>
      <c r="G57" s="1">
        <f t="shared" si="27"/>
        <v>169</v>
      </c>
      <c r="H57" s="1">
        <f t="shared" si="27"/>
        <v>154</v>
      </c>
      <c r="I57" s="1">
        <f t="shared" si="27"/>
        <v>116</v>
      </c>
      <c r="J57" s="1">
        <f t="shared" si="27"/>
        <v>285</v>
      </c>
      <c r="K57" s="1">
        <f t="shared" si="27"/>
        <v>336</v>
      </c>
      <c r="L57" s="1">
        <f t="shared" si="27"/>
        <v>342</v>
      </c>
      <c r="M57" s="1">
        <f t="shared" si="27"/>
        <v>451</v>
      </c>
      <c r="N57" s="1">
        <f>SUM(B57:M57)</f>
        <v>2481</v>
      </c>
    </row>
    <row r="58" spans="1:15" x14ac:dyDescent="0.25">
      <c r="A58" s="3" t="s">
        <v>65</v>
      </c>
      <c r="B58" s="99">
        <f>SUM(B57/B56)</f>
        <v>5.0382910116888349E-2</v>
      </c>
      <c r="C58" s="99">
        <f t="shared" ref="C58:M58" si="28">SUM(C57/C56)</f>
        <v>4.9576783555018135E-2</v>
      </c>
      <c r="D58" s="99">
        <f t="shared" si="28"/>
        <v>4.554615074566707E-2</v>
      </c>
      <c r="E58" s="99">
        <f t="shared" si="28"/>
        <v>5.7234985892785167E-2</v>
      </c>
      <c r="F58" s="99">
        <f t="shared" si="28"/>
        <v>5.0382910116888349E-2</v>
      </c>
      <c r="G58" s="99">
        <f t="shared" si="28"/>
        <v>6.811769447803305E-2</v>
      </c>
      <c r="H58" s="99">
        <f t="shared" si="28"/>
        <v>6.2071745264006446E-2</v>
      </c>
      <c r="I58" s="99">
        <f t="shared" si="28"/>
        <v>4.6755340588472388E-2</v>
      </c>
      <c r="J58" s="99">
        <f t="shared" si="28"/>
        <v>0.11487303506650544</v>
      </c>
      <c r="K58" s="99">
        <f t="shared" si="28"/>
        <v>0.13542926239419589</v>
      </c>
      <c r="L58" s="99">
        <f t="shared" si="28"/>
        <v>0.13784764207980654</v>
      </c>
      <c r="M58" s="99">
        <f t="shared" si="28"/>
        <v>0.18178153970173316</v>
      </c>
      <c r="N58" s="99">
        <f>SUM(B58:M58)</f>
        <v>0.99999999999999989</v>
      </c>
      <c r="O58" s="101" t="s">
        <v>56</v>
      </c>
    </row>
    <row r="59" spans="1:15" x14ac:dyDescent="0.25">
      <c r="A59" s="109" t="s">
        <v>69</v>
      </c>
      <c r="B59" s="102">
        <f t="shared" ref="B59:N59" si="29">SUM(B57-B64)/B64</f>
        <v>0.13636363636363635</v>
      </c>
      <c r="C59" s="102">
        <f t="shared" si="29"/>
        <v>-6.1068702290076333E-2</v>
      </c>
      <c r="D59" s="102">
        <f t="shared" si="29"/>
        <v>-0.10317460317460317</v>
      </c>
      <c r="E59" s="102">
        <f t="shared" si="29"/>
        <v>9.2307692307692313E-2</v>
      </c>
      <c r="F59" s="102">
        <f t="shared" si="29"/>
        <v>5.0420168067226892E-2</v>
      </c>
      <c r="G59" s="102">
        <f t="shared" si="29"/>
        <v>0.14189189189189189</v>
      </c>
      <c r="H59" s="102">
        <f t="shared" si="29"/>
        <v>0.2125984251968504</v>
      </c>
      <c r="I59" s="102">
        <f t="shared" si="29"/>
        <v>-0.14705882352941177</v>
      </c>
      <c r="J59" s="102">
        <f t="shared" si="29"/>
        <v>1.3170731707317074</v>
      </c>
      <c r="K59" s="102">
        <f t="shared" si="29"/>
        <v>0.92</v>
      </c>
      <c r="L59" s="102">
        <f t="shared" si="29"/>
        <v>1.0236686390532543</v>
      </c>
      <c r="M59" s="102">
        <f t="shared" si="29"/>
        <v>1.46448087431694</v>
      </c>
      <c r="N59" s="102">
        <f t="shared" si="29"/>
        <v>0.47942754919499103</v>
      </c>
      <c r="O59" s="110">
        <f>SUM(N57-N64)</f>
        <v>804</v>
      </c>
    </row>
    <row r="61" spans="1:15" x14ac:dyDescent="0.25">
      <c r="A61" s="108" t="s">
        <v>68</v>
      </c>
    </row>
    <row r="62" spans="1:15" x14ac:dyDescent="0.25">
      <c r="A62" s="101" t="s">
        <v>14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3" t="s">
        <v>66</v>
      </c>
      <c r="B63" s="1">
        <f>SUM(N63)</f>
        <v>1677</v>
      </c>
      <c r="C63" s="1">
        <f t="shared" ref="C63:M63" si="30">SUM(B63)</f>
        <v>1677</v>
      </c>
      <c r="D63" s="1">
        <f t="shared" si="30"/>
        <v>1677</v>
      </c>
      <c r="E63" s="1">
        <f t="shared" si="30"/>
        <v>1677</v>
      </c>
      <c r="F63" s="1">
        <f t="shared" si="30"/>
        <v>1677</v>
      </c>
      <c r="G63" s="1">
        <f t="shared" si="30"/>
        <v>1677</v>
      </c>
      <c r="H63" s="1">
        <f t="shared" si="30"/>
        <v>1677</v>
      </c>
      <c r="I63" s="1">
        <f t="shared" si="30"/>
        <v>1677</v>
      </c>
      <c r="J63" s="1">
        <f t="shared" si="30"/>
        <v>1677</v>
      </c>
      <c r="K63" s="1">
        <f t="shared" si="30"/>
        <v>1677</v>
      </c>
      <c r="L63" s="1">
        <f t="shared" si="30"/>
        <v>1677</v>
      </c>
      <c r="M63" s="1">
        <f t="shared" si="30"/>
        <v>1677</v>
      </c>
      <c r="N63" s="1">
        <f>SUM(N29)</f>
        <v>1677</v>
      </c>
    </row>
    <row r="64" spans="1:15" x14ac:dyDescent="0.25">
      <c r="A64" s="3" t="s">
        <v>67</v>
      </c>
      <c r="B64" s="1">
        <f t="shared" ref="B64:M64" si="31">SUM(B29)</f>
        <v>110</v>
      </c>
      <c r="C64" s="1">
        <f t="shared" si="31"/>
        <v>131</v>
      </c>
      <c r="D64" s="1">
        <f t="shared" si="31"/>
        <v>126</v>
      </c>
      <c r="E64" s="1">
        <f t="shared" si="31"/>
        <v>130</v>
      </c>
      <c r="F64" s="1">
        <f t="shared" si="31"/>
        <v>119</v>
      </c>
      <c r="G64" s="1">
        <f t="shared" si="31"/>
        <v>148</v>
      </c>
      <c r="H64" s="1">
        <f t="shared" si="31"/>
        <v>127</v>
      </c>
      <c r="I64" s="1">
        <f t="shared" si="31"/>
        <v>136</v>
      </c>
      <c r="J64" s="1">
        <f t="shared" si="31"/>
        <v>123</v>
      </c>
      <c r="K64" s="1">
        <f t="shared" si="31"/>
        <v>175</v>
      </c>
      <c r="L64" s="1">
        <f t="shared" si="31"/>
        <v>169</v>
      </c>
      <c r="M64" s="1">
        <f t="shared" si="31"/>
        <v>183</v>
      </c>
      <c r="N64" s="1">
        <f>SUM(B64:M64)</f>
        <v>1677</v>
      </c>
    </row>
    <row r="65" spans="1:14" x14ac:dyDescent="0.25">
      <c r="A65" s="3" t="s">
        <v>65</v>
      </c>
      <c r="B65" s="99">
        <f>SUM(B64/B63)</f>
        <v>6.559332140727489E-2</v>
      </c>
      <c r="C65" s="99">
        <f t="shared" ref="C65:M65" si="32">SUM(C64/C63)</f>
        <v>7.8115682766845551E-2</v>
      </c>
      <c r="D65" s="99">
        <f t="shared" si="32"/>
        <v>7.5134168157423978E-2</v>
      </c>
      <c r="E65" s="99">
        <f t="shared" si="32"/>
        <v>7.7519379844961239E-2</v>
      </c>
      <c r="F65" s="99">
        <f t="shared" si="32"/>
        <v>7.0960047704233753E-2</v>
      </c>
      <c r="G65" s="99">
        <f t="shared" si="32"/>
        <v>8.825283243887895E-2</v>
      </c>
      <c r="H65" s="99">
        <f t="shared" si="32"/>
        <v>7.573047107930829E-2</v>
      </c>
      <c r="I65" s="99">
        <f t="shared" si="32"/>
        <v>8.1097197376267138E-2</v>
      </c>
      <c r="J65" s="99">
        <f t="shared" si="32"/>
        <v>7.3345259391771014E-2</v>
      </c>
      <c r="K65" s="99">
        <f t="shared" si="32"/>
        <v>0.10435301132975551</v>
      </c>
      <c r="L65" s="99">
        <f t="shared" si="32"/>
        <v>0.10077519379844961</v>
      </c>
      <c r="M65" s="99">
        <f t="shared" si="32"/>
        <v>0.10912343470483005</v>
      </c>
      <c r="N65" s="99">
        <f>SUM(B65:M65)</f>
        <v>1</v>
      </c>
    </row>
  </sheetData>
  <sheetProtection algorithmName="SHA-512" hashValue="V5V7ITwpLXQVXBZ+WttsklIMN68dPuNlT+dPun/g+/+R2vV/aePp5nncK9ELZyMJKeftN05XI/DGpEQPi7FCag==" saltValue="au1OTe9nsd1cN5qH+x2now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C368D-1507-4E00-9E81-5D22CEEAB595}">
  <sheetPr>
    <tabColor theme="0" tint="-0.249977111117893"/>
    <pageSetUpPr fitToPage="1"/>
  </sheetPr>
  <dimension ref="A1:Q65"/>
  <sheetViews>
    <sheetView topLeftCell="A4" workbookViewId="0">
      <selection activeCell="M27" sqref="M27"/>
    </sheetView>
  </sheetViews>
  <sheetFormatPr defaultRowHeight="15" x14ac:dyDescent="0.25"/>
  <cols>
    <col min="1" max="13" width="12.7109375" customWidth="1"/>
    <col min="14" max="14" width="15.7109375" customWidth="1"/>
    <col min="16" max="16" width="10.42578125" bestFit="1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76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7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7" ht="15.75" x14ac:dyDescent="0.25">
      <c r="A25" s="49" t="s">
        <v>171</v>
      </c>
      <c r="B25" s="1">
        <v>530</v>
      </c>
      <c r="C25" s="1">
        <v>620</v>
      </c>
      <c r="D25" s="203">
        <v>521</v>
      </c>
      <c r="E25" s="111">
        <f t="shared" ref="E25:M25" si="0">SUM(E39)</f>
        <v>663.58909999999992</v>
      </c>
      <c r="F25" s="111">
        <f t="shared" si="0"/>
        <v>620.77690000000007</v>
      </c>
      <c r="G25" s="111">
        <f t="shared" si="0"/>
        <v>715.70830000000001</v>
      </c>
      <c r="H25" s="111">
        <f t="shared" si="0"/>
        <v>745.49070000000006</v>
      </c>
      <c r="I25" s="111">
        <f t="shared" si="0"/>
        <v>670.10400000000004</v>
      </c>
      <c r="J25" s="111">
        <f t="shared" si="0"/>
        <v>594.71729999999991</v>
      </c>
      <c r="K25" s="111">
        <f t="shared" si="0"/>
        <v>724.08460000000002</v>
      </c>
      <c r="L25" s="111">
        <f t="shared" si="0"/>
        <v>600.30150000000003</v>
      </c>
      <c r="M25" s="111">
        <f t="shared" si="0"/>
        <v>438.35969999999998</v>
      </c>
      <c r="N25" s="200">
        <f>SUM(B25:M25)</f>
        <v>7444.1321000000016</v>
      </c>
      <c r="O25" s="122">
        <f>SUM(N25-N26)</f>
        <v>-925.86789999999837</v>
      </c>
      <c r="P25" s="123">
        <f>SUM(O25/N26)</f>
        <v>-0.11061743130226982</v>
      </c>
    </row>
    <row r="26" spans="1:17" ht="15.75" x14ac:dyDescent="0.25">
      <c r="A26" s="49" t="s">
        <v>61</v>
      </c>
      <c r="B26" s="1">
        <v>660</v>
      </c>
      <c r="C26" s="1">
        <v>746</v>
      </c>
      <c r="D26" s="1">
        <v>761</v>
      </c>
      <c r="E26" s="1">
        <v>713</v>
      </c>
      <c r="F26" s="1">
        <v>667</v>
      </c>
      <c r="G26" s="1">
        <v>769</v>
      </c>
      <c r="H26" s="1">
        <v>801</v>
      </c>
      <c r="I26" s="1">
        <v>720</v>
      </c>
      <c r="J26" s="1">
        <v>639</v>
      </c>
      <c r="K26" s="1">
        <v>778</v>
      </c>
      <c r="L26" s="1">
        <v>645</v>
      </c>
      <c r="M26" s="201">
        <v>471</v>
      </c>
      <c r="N26" s="2">
        <f>SUM(B26:M26)</f>
        <v>8370</v>
      </c>
      <c r="O26" s="122">
        <f>SUM(N26-N27)</f>
        <v>-623</v>
      </c>
      <c r="P26" s="123">
        <f>SUM(O26/N27)</f>
        <v>-6.9276103636161462E-2</v>
      </c>
      <c r="Q26" s="90"/>
    </row>
    <row r="27" spans="1:17" ht="15.75" x14ac:dyDescent="0.25">
      <c r="A27" s="49" t="s">
        <v>34</v>
      </c>
      <c r="B27" s="1">
        <v>537</v>
      </c>
      <c r="C27" s="1">
        <v>599</v>
      </c>
      <c r="D27" s="1">
        <v>670</v>
      </c>
      <c r="E27" s="1">
        <v>817</v>
      </c>
      <c r="F27" s="1">
        <v>859</v>
      </c>
      <c r="G27" s="1">
        <v>801</v>
      </c>
      <c r="H27" s="1">
        <v>884</v>
      </c>
      <c r="I27" s="1">
        <v>677</v>
      </c>
      <c r="J27" s="1">
        <v>762</v>
      </c>
      <c r="K27" s="193">
        <v>829</v>
      </c>
      <c r="L27" s="1">
        <v>822</v>
      </c>
      <c r="M27" s="1">
        <v>736</v>
      </c>
      <c r="N27" s="2">
        <f t="shared" ref="N27:N29" si="1">SUM(B27:M27)</f>
        <v>8993</v>
      </c>
      <c r="O27" s="122">
        <f>SUM(N27-N28)</f>
        <v>4362</v>
      </c>
      <c r="P27" s="123">
        <f>SUM(O27/N28)</f>
        <v>0.94191319369466642</v>
      </c>
    </row>
    <row r="28" spans="1:17" ht="15.75" x14ac:dyDescent="0.25">
      <c r="A28" s="49" t="s">
        <v>31</v>
      </c>
      <c r="B28" s="115">
        <v>413</v>
      </c>
      <c r="C28" s="1">
        <v>346</v>
      </c>
      <c r="D28" s="1">
        <v>334</v>
      </c>
      <c r="E28" s="1">
        <v>322</v>
      </c>
      <c r="F28" s="1">
        <v>249</v>
      </c>
      <c r="G28" s="1">
        <v>306</v>
      </c>
      <c r="H28" s="1">
        <v>223</v>
      </c>
      <c r="I28" s="1">
        <v>293</v>
      </c>
      <c r="J28" s="73">
        <v>417</v>
      </c>
      <c r="K28" s="1">
        <v>493</v>
      </c>
      <c r="L28" s="1">
        <v>537</v>
      </c>
      <c r="M28" s="1">
        <v>698</v>
      </c>
      <c r="N28" s="2">
        <f t="shared" si="1"/>
        <v>4631</v>
      </c>
      <c r="O28" s="122">
        <f>SUM(N28-N29)</f>
        <v>-378</v>
      </c>
      <c r="P28" s="123">
        <f>SUM(O28/N29)</f>
        <v>-7.5464164503892997E-2</v>
      </c>
    </row>
    <row r="29" spans="1:17" ht="15.75" x14ac:dyDescent="0.25">
      <c r="A29" s="49" t="s">
        <v>14</v>
      </c>
      <c r="B29" s="1">
        <v>651</v>
      </c>
      <c r="C29" s="1">
        <v>443</v>
      </c>
      <c r="D29" s="1">
        <v>444</v>
      </c>
      <c r="E29" s="1">
        <v>478</v>
      </c>
      <c r="F29" s="1">
        <v>413</v>
      </c>
      <c r="G29" s="1">
        <v>448</v>
      </c>
      <c r="H29" s="1">
        <v>361</v>
      </c>
      <c r="I29" s="1">
        <v>331</v>
      </c>
      <c r="J29" s="116">
        <v>385</v>
      </c>
      <c r="K29" s="1">
        <v>396</v>
      </c>
      <c r="L29" s="1">
        <v>268</v>
      </c>
      <c r="M29" s="1">
        <v>391</v>
      </c>
      <c r="N29" s="2">
        <f t="shared" si="1"/>
        <v>5009</v>
      </c>
      <c r="O29" s="124"/>
      <c r="P29" s="125"/>
    </row>
    <row r="31" spans="1:17" x14ac:dyDescent="0.25">
      <c r="A31" s="107" t="s">
        <v>63</v>
      </c>
    </row>
    <row r="32" spans="1:17" ht="15.75" x14ac:dyDescent="0.25">
      <c r="A32" s="114" t="s">
        <v>174</v>
      </c>
      <c r="B32" s="111"/>
      <c r="C32" s="111"/>
      <c r="D32" s="111"/>
      <c r="E32" s="111"/>
      <c r="F32" s="111"/>
      <c r="G32" s="111"/>
      <c r="H32" s="111"/>
    </row>
    <row r="33" spans="1:15" x14ac:dyDescent="0.25">
      <c r="A33" s="101" t="s">
        <v>61</v>
      </c>
      <c r="B33" s="96" t="s">
        <v>43</v>
      </c>
      <c r="C33" s="96" t="s">
        <v>44</v>
      </c>
      <c r="D33" s="96" t="s">
        <v>45</v>
      </c>
      <c r="E33" s="96" t="s">
        <v>46</v>
      </c>
      <c r="F33" s="96" t="s">
        <v>47</v>
      </c>
      <c r="G33" s="96" t="s">
        <v>48</v>
      </c>
      <c r="H33" s="96" t="s">
        <v>49</v>
      </c>
      <c r="I33" s="96" t="s">
        <v>50</v>
      </c>
      <c r="J33" s="96" t="s">
        <v>27</v>
      </c>
      <c r="K33" s="96" t="s">
        <v>51</v>
      </c>
      <c r="L33" s="96" t="s">
        <v>52</v>
      </c>
      <c r="M33" s="96" t="s">
        <v>53</v>
      </c>
      <c r="N33" s="97" t="s">
        <v>54</v>
      </c>
    </row>
    <row r="34" spans="1:15" hidden="1" x14ac:dyDescent="0.25">
      <c r="A34" s="3" t="s">
        <v>66</v>
      </c>
      <c r="B34" s="1">
        <f>SUM(N34)</f>
        <v>7444.1321000000016</v>
      </c>
      <c r="C34" s="1">
        <f t="shared" ref="C34" si="2">SUM(B34)</f>
        <v>7444.1321000000016</v>
      </c>
      <c r="D34" s="1">
        <f t="shared" ref="D34" si="3">SUM(C34)</f>
        <v>7444.1321000000016</v>
      </c>
      <c r="E34" s="1">
        <f t="shared" ref="E34" si="4">SUM(D34)</f>
        <v>7444.1321000000016</v>
      </c>
      <c r="F34" s="1">
        <f t="shared" ref="F34" si="5">SUM(E34)</f>
        <v>7444.1321000000016</v>
      </c>
      <c r="G34" s="1">
        <f t="shared" ref="G34" si="6">SUM(F34)</f>
        <v>7444.1321000000016</v>
      </c>
      <c r="H34" s="1">
        <f t="shared" ref="H34" si="7">SUM(G34)</f>
        <v>7444.1321000000016</v>
      </c>
      <c r="I34" s="1">
        <f t="shared" ref="I34" si="8">SUM(H34)</f>
        <v>7444.1321000000016</v>
      </c>
      <c r="J34" s="1">
        <f t="shared" ref="J34" si="9">SUM(I34)</f>
        <v>7444.1321000000016</v>
      </c>
      <c r="K34" s="1">
        <f t="shared" ref="K34" si="10">SUM(J34)</f>
        <v>7444.1321000000016</v>
      </c>
      <c r="L34" s="1">
        <f t="shared" ref="L34" si="11">SUM(K34)</f>
        <v>7444.1321000000016</v>
      </c>
      <c r="M34" s="1">
        <f t="shared" ref="M34" si="12">SUM(L34)</f>
        <v>7444.1321000000016</v>
      </c>
      <c r="N34" s="1">
        <f>SUM(N25)</f>
        <v>7444.1321000000016</v>
      </c>
    </row>
    <row r="35" spans="1:15" x14ac:dyDescent="0.25">
      <c r="A35" s="3" t="s">
        <v>67</v>
      </c>
      <c r="B35" s="1">
        <f>SUM(B25)</f>
        <v>530</v>
      </c>
      <c r="C35" s="1">
        <f t="shared" ref="C35:M35" si="13">SUM(C25)</f>
        <v>620</v>
      </c>
      <c r="D35" s="1">
        <f t="shared" si="13"/>
        <v>521</v>
      </c>
      <c r="E35" s="1">
        <f t="shared" si="13"/>
        <v>663.58909999999992</v>
      </c>
      <c r="F35" s="1">
        <f t="shared" si="13"/>
        <v>620.77690000000007</v>
      </c>
      <c r="G35" s="1">
        <f t="shared" si="13"/>
        <v>715.70830000000001</v>
      </c>
      <c r="H35" s="1">
        <f t="shared" si="13"/>
        <v>745.49070000000006</v>
      </c>
      <c r="I35" s="1">
        <f t="shared" si="13"/>
        <v>670.10400000000004</v>
      </c>
      <c r="J35" s="1">
        <f t="shared" si="13"/>
        <v>594.71729999999991</v>
      </c>
      <c r="K35" s="1">
        <f t="shared" si="13"/>
        <v>724.08460000000002</v>
      </c>
      <c r="L35" s="1">
        <f t="shared" si="13"/>
        <v>600.30150000000003</v>
      </c>
      <c r="M35" s="1">
        <f t="shared" si="13"/>
        <v>438.35969999999998</v>
      </c>
      <c r="N35" s="1">
        <f>SUM(B35:M35)</f>
        <v>7444.1321000000016</v>
      </c>
    </row>
    <row r="36" spans="1:15" x14ac:dyDescent="0.25">
      <c r="A36" s="3" t="s">
        <v>65</v>
      </c>
      <c r="B36" s="99">
        <f>SUM(B35/B34)</f>
        <v>7.1197017043800159E-2</v>
      </c>
      <c r="C36" s="99">
        <f t="shared" ref="C36:M36" si="14">SUM(C35/C34)</f>
        <v>8.3287076541803964E-2</v>
      </c>
      <c r="D36" s="99">
        <f t="shared" si="14"/>
        <v>6.9988011093999783E-2</v>
      </c>
      <c r="E36" s="99">
        <f t="shared" si="14"/>
        <v>8.9142574458075483E-2</v>
      </c>
      <c r="F36" s="99">
        <f t="shared" si="14"/>
        <v>8.3391440622070628E-2</v>
      </c>
      <c r="G36" s="99">
        <f t="shared" si="14"/>
        <v>9.6143954780168378E-2</v>
      </c>
      <c r="H36" s="99">
        <f t="shared" si="14"/>
        <v>0.10014474353565003</v>
      </c>
      <c r="I36" s="99">
        <f t="shared" si="14"/>
        <v>9.0017746998337103E-2</v>
      </c>
      <c r="J36" s="99">
        <f t="shared" si="14"/>
        <v>7.989075046102416E-2</v>
      </c>
      <c r="K36" s="99">
        <f t="shared" si="14"/>
        <v>9.7269176617647599E-2</v>
      </c>
      <c r="L36" s="99">
        <f t="shared" si="14"/>
        <v>8.0640898352676987E-2</v>
      </c>
      <c r="M36" s="99">
        <f t="shared" si="14"/>
        <v>5.8886609494745515E-2</v>
      </c>
      <c r="N36" s="99">
        <f>SUM(B36:M36)</f>
        <v>0.99999999999999967</v>
      </c>
      <c r="O36" s="101" t="s">
        <v>56</v>
      </c>
    </row>
    <row r="37" spans="1:15" x14ac:dyDescent="0.25">
      <c r="A37" s="109" t="s">
        <v>69</v>
      </c>
      <c r="B37" s="102">
        <f t="shared" ref="B37:N37" si="15">SUM(B35-B43)/B43</f>
        <v>-0.19696969696969696</v>
      </c>
      <c r="C37" s="102">
        <f t="shared" si="15"/>
        <v>-0.16890080428954424</v>
      </c>
      <c r="D37" s="102">
        <f t="shared" si="15"/>
        <v>-0.31537450722733246</v>
      </c>
      <c r="E37" s="102">
        <f t="shared" si="15"/>
        <v>-6.9300000000000112E-2</v>
      </c>
      <c r="F37" s="102">
        <f t="shared" si="15"/>
        <v>-6.9299999999999903E-2</v>
      </c>
      <c r="G37" s="102">
        <f t="shared" si="15"/>
        <v>-6.9299999999999987E-2</v>
      </c>
      <c r="H37" s="102">
        <f t="shared" si="15"/>
        <v>-6.9299999999999917E-2</v>
      </c>
      <c r="I37" s="102">
        <f t="shared" si="15"/>
        <v>-6.9299999999999945E-2</v>
      </c>
      <c r="J37" s="102">
        <f t="shared" si="15"/>
        <v>-6.9300000000000139E-2</v>
      </c>
      <c r="K37" s="102">
        <f t="shared" si="15"/>
        <v>-6.9299999999999973E-2</v>
      </c>
      <c r="L37" s="102">
        <f t="shared" si="15"/>
        <v>-6.9299999999999945E-2</v>
      </c>
      <c r="M37" s="102">
        <f t="shared" si="15"/>
        <v>-6.9300000000000056E-2</v>
      </c>
      <c r="N37" s="102">
        <f t="shared" si="15"/>
        <v>-0.11061743130226982</v>
      </c>
      <c r="O37" s="110">
        <f>SUM(O25)</f>
        <v>-925.86789999999837</v>
      </c>
    </row>
    <row r="38" spans="1:15" hidden="1" x14ac:dyDescent="0.25">
      <c r="A38" s="205" t="s">
        <v>181</v>
      </c>
      <c r="B38" s="111">
        <f>SUM(N26*0.9307)</f>
        <v>7789.9589999999998</v>
      </c>
      <c r="C38" s="111">
        <f>SUM(B38)</f>
        <v>7789.9589999999998</v>
      </c>
      <c r="D38" s="111">
        <f t="shared" ref="D38:N38" si="16">SUM(C38)</f>
        <v>7789.9589999999998</v>
      </c>
      <c r="E38" s="111">
        <f t="shared" si="16"/>
        <v>7789.9589999999998</v>
      </c>
      <c r="F38" s="111">
        <f t="shared" si="16"/>
        <v>7789.9589999999998</v>
      </c>
      <c r="G38" s="111">
        <f t="shared" si="16"/>
        <v>7789.9589999999998</v>
      </c>
      <c r="H38" s="111">
        <f t="shared" si="16"/>
        <v>7789.9589999999998</v>
      </c>
      <c r="I38" s="111">
        <f t="shared" si="16"/>
        <v>7789.9589999999998</v>
      </c>
      <c r="J38" s="111">
        <f t="shared" si="16"/>
        <v>7789.9589999999998</v>
      </c>
      <c r="K38" s="111">
        <f t="shared" si="16"/>
        <v>7789.9589999999998</v>
      </c>
      <c r="L38" s="111">
        <f t="shared" si="16"/>
        <v>7789.9589999999998</v>
      </c>
      <c r="M38" s="111">
        <f t="shared" si="16"/>
        <v>7789.9589999999998</v>
      </c>
      <c r="N38" s="111">
        <f t="shared" si="16"/>
        <v>7789.9589999999998</v>
      </c>
    </row>
    <row r="39" spans="1:15" x14ac:dyDescent="0.25">
      <c r="A39" s="204" t="s">
        <v>180</v>
      </c>
      <c r="B39" s="111">
        <f>SUM(B38*B44)</f>
        <v>614.26199999999994</v>
      </c>
      <c r="C39" s="111">
        <f t="shared" ref="C39:M39" si="17">SUM(C38*C44)</f>
        <v>694.30219999999997</v>
      </c>
      <c r="D39" s="111">
        <f t="shared" si="17"/>
        <v>708.2627</v>
      </c>
      <c r="E39" s="111">
        <f t="shared" si="17"/>
        <v>663.58909999999992</v>
      </c>
      <c r="F39" s="111">
        <f t="shared" si="17"/>
        <v>620.77690000000007</v>
      </c>
      <c r="G39" s="111">
        <f t="shared" si="17"/>
        <v>715.70830000000001</v>
      </c>
      <c r="H39" s="111">
        <f t="shared" si="17"/>
        <v>745.49070000000006</v>
      </c>
      <c r="I39" s="111">
        <f t="shared" si="17"/>
        <v>670.10400000000004</v>
      </c>
      <c r="J39" s="111">
        <f t="shared" si="17"/>
        <v>594.71729999999991</v>
      </c>
      <c r="K39" s="111">
        <f t="shared" si="17"/>
        <v>724.08460000000002</v>
      </c>
      <c r="L39" s="111">
        <f t="shared" si="17"/>
        <v>600.30150000000003</v>
      </c>
      <c r="M39" s="111">
        <f t="shared" si="17"/>
        <v>438.35969999999998</v>
      </c>
      <c r="N39" s="111">
        <f>SUM(B39:M39)</f>
        <v>7789.9590000000017</v>
      </c>
    </row>
    <row r="40" spans="1:15" ht="15.75" x14ac:dyDescent="0.25">
      <c r="A40" s="98" t="s">
        <v>173</v>
      </c>
      <c r="B40" s="1"/>
      <c r="C40" s="1"/>
      <c r="D40" s="1"/>
      <c r="E40" s="1"/>
      <c r="F40" s="1"/>
      <c r="G40" s="1"/>
      <c r="H40" s="1"/>
    </row>
    <row r="41" spans="1:15" x14ac:dyDescent="0.25">
      <c r="A41" s="101" t="s">
        <v>61</v>
      </c>
      <c r="B41" s="96" t="s">
        <v>43</v>
      </c>
      <c r="C41" s="96" t="s">
        <v>44</v>
      </c>
      <c r="D41" s="96" t="s">
        <v>45</v>
      </c>
      <c r="E41" s="96" t="s">
        <v>46</v>
      </c>
      <c r="F41" s="96" t="s">
        <v>47</v>
      </c>
      <c r="G41" s="96" t="s">
        <v>48</v>
      </c>
      <c r="H41" s="96" t="s">
        <v>49</v>
      </c>
      <c r="I41" s="96" t="s">
        <v>50</v>
      </c>
      <c r="J41" s="96" t="s">
        <v>27</v>
      </c>
      <c r="K41" s="96" t="s">
        <v>51</v>
      </c>
      <c r="L41" s="96" t="s">
        <v>52</v>
      </c>
      <c r="M41" s="96" t="s">
        <v>53</v>
      </c>
      <c r="N41" s="97" t="s">
        <v>54</v>
      </c>
    </row>
    <row r="42" spans="1:15" hidden="1" x14ac:dyDescent="0.25">
      <c r="A42" s="3" t="s">
        <v>66</v>
      </c>
      <c r="B42" s="1">
        <f>SUM(N42)</f>
        <v>8370</v>
      </c>
      <c r="C42" s="1">
        <f t="shared" ref="C42:M42" si="18">SUM(B42)</f>
        <v>8370</v>
      </c>
      <c r="D42" s="1">
        <f t="shared" si="18"/>
        <v>8370</v>
      </c>
      <c r="E42" s="1">
        <f t="shared" si="18"/>
        <v>8370</v>
      </c>
      <c r="F42" s="1">
        <f t="shared" si="18"/>
        <v>8370</v>
      </c>
      <c r="G42" s="1">
        <f t="shared" si="18"/>
        <v>8370</v>
      </c>
      <c r="H42" s="1">
        <f t="shared" si="18"/>
        <v>8370</v>
      </c>
      <c r="I42" s="1">
        <f t="shared" si="18"/>
        <v>8370</v>
      </c>
      <c r="J42" s="1">
        <f t="shared" si="18"/>
        <v>8370</v>
      </c>
      <c r="K42" s="1">
        <f t="shared" si="18"/>
        <v>8370</v>
      </c>
      <c r="L42" s="1">
        <f t="shared" si="18"/>
        <v>8370</v>
      </c>
      <c r="M42" s="1">
        <f t="shared" si="18"/>
        <v>8370</v>
      </c>
      <c r="N42" s="1">
        <f>SUM(N26)</f>
        <v>8370</v>
      </c>
    </row>
    <row r="43" spans="1:15" x14ac:dyDescent="0.25">
      <c r="A43" s="3" t="s">
        <v>67</v>
      </c>
      <c r="B43" s="1">
        <f t="shared" ref="B43:M43" si="19">SUM(B26)</f>
        <v>660</v>
      </c>
      <c r="C43" s="1">
        <f t="shared" si="19"/>
        <v>746</v>
      </c>
      <c r="D43" s="1">
        <f t="shared" si="19"/>
        <v>761</v>
      </c>
      <c r="E43" s="1">
        <f t="shared" si="19"/>
        <v>713</v>
      </c>
      <c r="F43" s="1">
        <f t="shared" si="19"/>
        <v>667</v>
      </c>
      <c r="G43" s="1">
        <f t="shared" si="19"/>
        <v>769</v>
      </c>
      <c r="H43" s="1">
        <f t="shared" si="19"/>
        <v>801</v>
      </c>
      <c r="I43" s="1">
        <f t="shared" si="19"/>
        <v>720</v>
      </c>
      <c r="J43" s="1">
        <f t="shared" si="19"/>
        <v>639</v>
      </c>
      <c r="K43" s="1">
        <f t="shared" si="19"/>
        <v>778</v>
      </c>
      <c r="L43" s="1">
        <f t="shared" si="19"/>
        <v>645</v>
      </c>
      <c r="M43" s="1">
        <f t="shared" si="19"/>
        <v>471</v>
      </c>
      <c r="N43" s="1">
        <f>SUM(B43:M43)</f>
        <v>8370</v>
      </c>
    </row>
    <row r="44" spans="1:15" x14ac:dyDescent="0.25">
      <c r="A44" s="3" t="s">
        <v>65</v>
      </c>
      <c r="B44" s="99">
        <f>SUM(B43/B42)</f>
        <v>7.8853046594982074E-2</v>
      </c>
      <c r="C44" s="99">
        <f t="shared" ref="C44:M44" si="20">SUM(C43/C42)</f>
        <v>8.9127837514934291E-2</v>
      </c>
      <c r="D44" s="99">
        <f t="shared" si="20"/>
        <v>9.0919952210274796E-2</v>
      </c>
      <c r="E44" s="99">
        <f t="shared" si="20"/>
        <v>8.5185185185185183E-2</v>
      </c>
      <c r="F44" s="99">
        <f t="shared" si="20"/>
        <v>7.9689366786140983E-2</v>
      </c>
      <c r="G44" s="99">
        <f t="shared" si="20"/>
        <v>9.1875746714456391E-2</v>
      </c>
      <c r="H44" s="99">
        <f t="shared" si="20"/>
        <v>9.56989247311828E-2</v>
      </c>
      <c r="I44" s="99">
        <f t="shared" si="20"/>
        <v>8.6021505376344093E-2</v>
      </c>
      <c r="J44" s="99">
        <f t="shared" si="20"/>
        <v>7.6344086021505372E-2</v>
      </c>
      <c r="K44" s="99">
        <f t="shared" si="20"/>
        <v>9.29510155316607E-2</v>
      </c>
      <c r="L44" s="99">
        <f t="shared" si="20"/>
        <v>7.7060931899641583E-2</v>
      </c>
      <c r="M44" s="99">
        <f t="shared" si="20"/>
        <v>5.6272401433691756E-2</v>
      </c>
      <c r="N44" s="99">
        <f>SUM(B44:M44)</f>
        <v>1</v>
      </c>
      <c r="O44" s="101" t="s">
        <v>56</v>
      </c>
    </row>
    <row r="45" spans="1:15" x14ac:dyDescent="0.25">
      <c r="A45" s="109" t="s">
        <v>69</v>
      </c>
      <c r="B45" s="102">
        <f t="shared" ref="B45:N45" si="21">SUM(B43-B50)/B50</f>
        <v>0.22905027932960895</v>
      </c>
      <c r="C45" s="102">
        <f t="shared" si="21"/>
        <v>0.24540901502504173</v>
      </c>
      <c r="D45" s="102">
        <f t="shared" si="21"/>
        <v>0.13582089552238805</v>
      </c>
      <c r="E45" s="102">
        <f t="shared" si="21"/>
        <v>-0.12729498164014688</v>
      </c>
      <c r="F45" s="102">
        <f t="shared" si="21"/>
        <v>-0.22351571594877764</v>
      </c>
      <c r="G45" s="102">
        <f t="shared" si="21"/>
        <v>-3.9950062421972535E-2</v>
      </c>
      <c r="H45" s="102">
        <f t="shared" si="21"/>
        <v>-9.3891402714932126E-2</v>
      </c>
      <c r="I45" s="102">
        <f t="shared" si="21"/>
        <v>6.3515509601181686E-2</v>
      </c>
      <c r="J45" s="102">
        <f t="shared" si="21"/>
        <v>-0.16141732283464566</v>
      </c>
      <c r="K45" s="102">
        <f t="shared" si="21"/>
        <v>-6.1519903498190594E-2</v>
      </c>
      <c r="L45" s="102">
        <f t="shared" si="21"/>
        <v>-0.21532846715328466</v>
      </c>
      <c r="M45" s="102">
        <f t="shared" si="21"/>
        <v>-0.36005434782608697</v>
      </c>
      <c r="N45" s="102">
        <f t="shared" si="21"/>
        <v>-6.9276103636161462E-2</v>
      </c>
      <c r="O45" s="110">
        <f>SUM(N43-N50)</f>
        <v>-623</v>
      </c>
    </row>
    <row r="47" spans="1:15" ht="15.75" x14ac:dyDescent="0.25">
      <c r="A47" s="98" t="s">
        <v>64</v>
      </c>
    </row>
    <row r="48" spans="1:15" x14ac:dyDescent="0.25">
      <c r="A48" s="101" t="s">
        <v>34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8993</v>
      </c>
      <c r="C49" s="1">
        <f t="shared" ref="C49:M49" si="22">SUM(B49)</f>
        <v>8993</v>
      </c>
      <c r="D49" s="1">
        <f t="shared" si="22"/>
        <v>8993</v>
      </c>
      <c r="E49" s="1">
        <f t="shared" si="22"/>
        <v>8993</v>
      </c>
      <c r="F49" s="1">
        <f t="shared" si="22"/>
        <v>8993</v>
      </c>
      <c r="G49" s="1">
        <f t="shared" si="22"/>
        <v>8993</v>
      </c>
      <c r="H49" s="1">
        <f t="shared" si="22"/>
        <v>8993</v>
      </c>
      <c r="I49" s="1">
        <f t="shared" si="22"/>
        <v>8993</v>
      </c>
      <c r="J49" s="1">
        <f t="shared" si="22"/>
        <v>8993</v>
      </c>
      <c r="K49" s="1">
        <f t="shared" si="22"/>
        <v>8993</v>
      </c>
      <c r="L49" s="1">
        <f t="shared" si="22"/>
        <v>8993</v>
      </c>
      <c r="M49" s="1">
        <f t="shared" si="22"/>
        <v>8993</v>
      </c>
      <c r="N49" s="1">
        <f>SUM(N27)</f>
        <v>8993</v>
      </c>
    </row>
    <row r="50" spans="1:15" x14ac:dyDescent="0.25">
      <c r="A50" s="3" t="s">
        <v>67</v>
      </c>
      <c r="B50" s="1">
        <f t="shared" ref="B50:M50" si="23">SUM(B27)</f>
        <v>537</v>
      </c>
      <c r="C50" s="1">
        <f t="shared" si="23"/>
        <v>599</v>
      </c>
      <c r="D50" s="1">
        <f t="shared" si="23"/>
        <v>670</v>
      </c>
      <c r="E50" s="1">
        <f t="shared" si="23"/>
        <v>817</v>
      </c>
      <c r="F50" s="1">
        <f t="shared" si="23"/>
        <v>859</v>
      </c>
      <c r="G50" s="1">
        <f t="shared" si="23"/>
        <v>801</v>
      </c>
      <c r="H50" s="1">
        <f t="shared" si="23"/>
        <v>884</v>
      </c>
      <c r="I50" s="1">
        <f t="shared" si="23"/>
        <v>677</v>
      </c>
      <c r="J50" s="1">
        <f t="shared" si="23"/>
        <v>762</v>
      </c>
      <c r="K50" s="1">
        <f t="shared" si="23"/>
        <v>829</v>
      </c>
      <c r="L50" s="1">
        <f t="shared" si="23"/>
        <v>822</v>
      </c>
      <c r="M50" s="1">
        <f t="shared" si="23"/>
        <v>736</v>
      </c>
      <c r="N50" s="1">
        <f>SUM(B50:M50)</f>
        <v>8993</v>
      </c>
    </row>
    <row r="51" spans="1:15" x14ac:dyDescent="0.25">
      <c r="A51" s="3" t="s">
        <v>65</v>
      </c>
      <c r="B51" s="99">
        <f>SUM(B50/B49)</f>
        <v>5.9713110196819748E-2</v>
      </c>
      <c r="C51" s="99">
        <f t="shared" ref="C51:M51" si="24">SUM(C50/C49)</f>
        <v>6.6607361280996327E-2</v>
      </c>
      <c r="D51" s="99">
        <f t="shared" si="24"/>
        <v>7.4502390748359834E-2</v>
      </c>
      <c r="E51" s="99">
        <f t="shared" si="24"/>
        <v>9.0848437673746243E-2</v>
      </c>
      <c r="F51" s="99">
        <f t="shared" si="24"/>
        <v>9.551873679528522E-2</v>
      </c>
      <c r="G51" s="99">
        <f t="shared" si="24"/>
        <v>8.9069276103636158E-2</v>
      </c>
      <c r="H51" s="99">
        <f t="shared" si="24"/>
        <v>9.8298676748582225E-2</v>
      </c>
      <c r="I51" s="99">
        <f t="shared" si="24"/>
        <v>7.5280773935282999E-2</v>
      </c>
      <c r="J51" s="99">
        <f t="shared" si="24"/>
        <v>8.4732569776492822E-2</v>
      </c>
      <c r="K51" s="99">
        <f t="shared" si="24"/>
        <v>9.2182808851328818E-2</v>
      </c>
      <c r="L51" s="99">
        <f t="shared" si="24"/>
        <v>9.1404425664405653E-2</v>
      </c>
      <c r="M51" s="99">
        <f t="shared" si="24"/>
        <v>8.1841432225063945E-2</v>
      </c>
      <c r="N51" s="99">
        <f>SUM(B51:M51)</f>
        <v>0.99999999999999989</v>
      </c>
      <c r="O51" s="101" t="s">
        <v>56</v>
      </c>
    </row>
    <row r="52" spans="1:15" x14ac:dyDescent="0.25">
      <c r="A52" s="109" t="s">
        <v>69</v>
      </c>
      <c r="B52" s="102">
        <f t="shared" ref="B52:N52" si="25">SUM(B50-B57)/B57</f>
        <v>0.30024213075060535</v>
      </c>
      <c r="C52" s="102">
        <f t="shared" si="25"/>
        <v>0.73121387283236994</v>
      </c>
      <c r="D52" s="102">
        <f t="shared" si="25"/>
        <v>1.0059880239520957</v>
      </c>
      <c r="E52" s="102">
        <f t="shared" si="25"/>
        <v>1.5372670807453417</v>
      </c>
      <c r="F52" s="102">
        <f t="shared" si="25"/>
        <v>2.4497991967871484</v>
      </c>
      <c r="G52" s="102">
        <f t="shared" si="25"/>
        <v>1.6176470588235294</v>
      </c>
      <c r="H52" s="102">
        <f t="shared" si="25"/>
        <v>2.9641255605381165</v>
      </c>
      <c r="I52" s="102">
        <f t="shared" si="25"/>
        <v>1.310580204778157</v>
      </c>
      <c r="J52" s="102">
        <f t="shared" si="25"/>
        <v>0.82733812949640284</v>
      </c>
      <c r="K52" s="102">
        <f t="shared" si="25"/>
        <v>0.68154158215010141</v>
      </c>
      <c r="L52" s="102">
        <f t="shared" si="25"/>
        <v>0.53072625698324027</v>
      </c>
      <c r="M52" s="102">
        <f t="shared" si="25"/>
        <v>5.4441260744985676E-2</v>
      </c>
      <c r="N52" s="102">
        <f t="shared" si="25"/>
        <v>0.94191319369466642</v>
      </c>
      <c r="O52" s="110">
        <f>SUM(N50-N57)</f>
        <v>4362</v>
      </c>
    </row>
    <row r="54" spans="1:15" ht="15.75" x14ac:dyDescent="0.25">
      <c r="A54" s="98" t="s">
        <v>55</v>
      </c>
    </row>
    <row r="55" spans="1:15" x14ac:dyDescent="0.25">
      <c r="A55" s="101" t="s">
        <v>31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3" t="s">
        <v>66</v>
      </c>
      <c r="B56" s="1">
        <f>SUM(N56)</f>
        <v>4631</v>
      </c>
      <c r="C56" s="1">
        <f t="shared" ref="C56:M56" si="26">SUM(B56)</f>
        <v>4631</v>
      </c>
      <c r="D56" s="1">
        <f t="shared" si="26"/>
        <v>4631</v>
      </c>
      <c r="E56" s="1">
        <f t="shared" si="26"/>
        <v>4631</v>
      </c>
      <c r="F56" s="1">
        <f t="shared" si="26"/>
        <v>4631</v>
      </c>
      <c r="G56" s="1">
        <f t="shared" si="26"/>
        <v>4631</v>
      </c>
      <c r="H56" s="1">
        <f t="shared" si="26"/>
        <v>4631</v>
      </c>
      <c r="I56" s="1">
        <f t="shared" si="26"/>
        <v>4631</v>
      </c>
      <c r="J56" s="1">
        <f t="shared" si="26"/>
        <v>4631</v>
      </c>
      <c r="K56" s="1">
        <f t="shared" si="26"/>
        <v>4631</v>
      </c>
      <c r="L56" s="1">
        <f t="shared" si="26"/>
        <v>4631</v>
      </c>
      <c r="M56" s="1">
        <f t="shared" si="26"/>
        <v>4631</v>
      </c>
      <c r="N56" s="1">
        <f>SUM(N28)</f>
        <v>4631</v>
      </c>
    </row>
    <row r="57" spans="1:15" x14ac:dyDescent="0.25">
      <c r="A57" s="3" t="s">
        <v>67</v>
      </c>
      <c r="B57" s="1">
        <f t="shared" ref="B57:M57" si="27">SUM(B28)</f>
        <v>413</v>
      </c>
      <c r="C57" s="1">
        <f t="shared" si="27"/>
        <v>346</v>
      </c>
      <c r="D57" s="1">
        <f t="shared" si="27"/>
        <v>334</v>
      </c>
      <c r="E57" s="1">
        <f t="shared" si="27"/>
        <v>322</v>
      </c>
      <c r="F57" s="1">
        <f t="shared" si="27"/>
        <v>249</v>
      </c>
      <c r="G57" s="1">
        <f t="shared" si="27"/>
        <v>306</v>
      </c>
      <c r="H57" s="1">
        <f t="shared" si="27"/>
        <v>223</v>
      </c>
      <c r="I57" s="1">
        <f t="shared" si="27"/>
        <v>293</v>
      </c>
      <c r="J57" s="1">
        <f t="shared" si="27"/>
        <v>417</v>
      </c>
      <c r="K57" s="1">
        <f t="shared" si="27"/>
        <v>493</v>
      </c>
      <c r="L57" s="1">
        <f t="shared" si="27"/>
        <v>537</v>
      </c>
      <c r="M57" s="1">
        <f t="shared" si="27"/>
        <v>698</v>
      </c>
      <c r="N57" s="1">
        <f>SUM(B57:M57)</f>
        <v>4631</v>
      </c>
    </row>
    <row r="58" spans="1:15" x14ac:dyDescent="0.25">
      <c r="A58" s="3" t="s">
        <v>65</v>
      </c>
      <c r="B58" s="99">
        <f>SUM(B57/B56)</f>
        <v>8.9181602245735264E-2</v>
      </c>
      <c r="C58" s="99">
        <f t="shared" ref="C58:M58" si="28">SUM(C57/C56)</f>
        <v>7.4713884690131724E-2</v>
      </c>
      <c r="D58" s="99">
        <f t="shared" si="28"/>
        <v>7.2122651695098253E-2</v>
      </c>
      <c r="E58" s="99">
        <f t="shared" si="28"/>
        <v>6.9531418700064782E-2</v>
      </c>
      <c r="F58" s="99">
        <f t="shared" si="28"/>
        <v>5.3768084646944506E-2</v>
      </c>
      <c r="G58" s="99">
        <f t="shared" si="28"/>
        <v>6.6076441373353487E-2</v>
      </c>
      <c r="H58" s="99">
        <f t="shared" si="28"/>
        <v>4.8153746491038651E-2</v>
      </c>
      <c r="I58" s="99">
        <f t="shared" si="28"/>
        <v>6.3269272295400567E-2</v>
      </c>
      <c r="J58" s="99">
        <f t="shared" si="28"/>
        <v>9.0045346577413088E-2</v>
      </c>
      <c r="K58" s="99">
        <f t="shared" si="28"/>
        <v>0.10645648887929172</v>
      </c>
      <c r="L58" s="99">
        <f t="shared" si="28"/>
        <v>0.11595767652774779</v>
      </c>
      <c r="M58" s="99">
        <f t="shared" si="28"/>
        <v>0.15072338587778017</v>
      </c>
      <c r="N58" s="99">
        <f>SUM(B58:M58)</f>
        <v>1</v>
      </c>
      <c r="O58" s="101" t="s">
        <v>56</v>
      </c>
    </row>
    <row r="59" spans="1:15" x14ac:dyDescent="0.25">
      <c r="A59" s="109" t="s">
        <v>69</v>
      </c>
      <c r="B59" s="102">
        <f t="shared" ref="B59:N59" si="29">SUM(B57-B64)/B64</f>
        <v>-0.36559139784946237</v>
      </c>
      <c r="C59" s="102">
        <f t="shared" si="29"/>
        <v>-0.21896162528216703</v>
      </c>
      <c r="D59" s="102">
        <f t="shared" si="29"/>
        <v>-0.24774774774774774</v>
      </c>
      <c r="E59" s="102">
        <f t="shared" si="29"/>
        <v>-0.32635983263598328</v>
      </c>
      <c r="F59" s="102">
        <f t="shared" si="29"/>
        <v>-0.39709443099273606</v>
      </c>
      <c r="G59" s="102">
        <f t="shared" si="29"/>
        <v>-0.3169642857142857</v>
      </c>
      <c r="H59" s="102">
        <f t="shared" si="29"/>
        <v>-0.38227146814404434</v>
      </c>
      <c r="I59" s="102">
        <f t="shared" si="29"/>
        <v>-0.11480362537764351</v>
      </c>
      <c r="J59" s="102">
        <f t="shared" si="29"/>
        <v>8.3116883116883117E-2</v>
      </c>
      <c r="K59" s="102">
        <f t="shared" si="29"/>
        <v>0.24494949494949494</v>
      </c>
      <c r="L59" s="102">
        <f t="shared" si="29"/>
        <v>1.0037313432835822</v>
      </c>
      <c r="M59" s="102">
        <f t="shared" si="29"/>
        <v>0.78516624040920713</v>
      </c>
      <c r="N59" s="102">
        <f t="shared" si="29"/>
        <v>-7.5464164503892997E-2</v>
      </c>
      <c r="O59" s="110">
        <f>SUM(N57-N64)</f>
        <v>-378</v>
      </c>
    </row>
    <row r="61" spans="1:15" x14ac:dyDescent="0.25">
      <c r="A61" s="108" t="s">
        <v>68</v>
      </c>
    </row>
    <row r="62" spans="1:15" x14ac:dyDescent="0.25">
      <c r="A62" s="101" t="s">
        <v>14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3" t="s">
        <v>66</v>
      </c>
      <c r="B63" s="1">
        <f>SUM(N63)</f>
        <v>5009</v>
      </c>
      <c r="C63" s="1">
        <f t="shared" ref="C63:M63" si="30">SUM(B63)</f>
        <v>5009</v>
      </c>
      <c r="D63" s="1">
        <f t="shared" si="30"/>
        <v>5009</v>
      </c>
      <c r="E63" s="1">
        <f t="shared" si="30"/>
        <v>5009</v>
      </c>
      <c r="F63" s="1">
        <f t="shared" si="30"/>
        <v>5009</v>
      </c>
      <c r="G63" s="1">
        <f t="shared" si="30"/>
        <v>5009</v>
      </c>
      <c r="H63" s="1">
        <f t="shared" si="30"/>
        <v>5009</v>
      </c>
      <c r="I63" s="1">
        <f t="shared" si="30"/>
        <v>5009</v>
      </c>
      <c r="J63" s="1">
        <f t="shared" si="30"/>
        <v>5009</v>
      </c>
      <c r="K63" s="1">
        <f t="shared" si="30"/>
        <v>5009</v>
      </c>
      <c r="L63" s="1">
        <f t="shared" si="30"/>
        <v>5009</v>
      </c>
      <c r="M63" s="1">
        <f t="shared" si="30"/>
        <v>5009</v>
      </c>
      <c r="N63" s="1">
        <f>SUM(N29)</f>
        <v>5009</v>
      </c>
    </row>
    <row r="64" spans="1:15" x14ac:dyDescent="0.25">
      <c r="A64" s="3" t="s">
        <v>67</v>
      </c>
      <c r="B64" s="1">
        <f t="shared" ref="B64:M64" si="31">SUM(B29)</f>
        <v>651</v>
      </c>
      <c r="C64" s="1">
        <f t="shared" si="31"/>
        <v>443</v>
      </c>
      <c r="D64" s="1">
        <f t="shared" si="31"/>
        <v>444</v>
      </c>
      <c r="E64" s="1">
        <f t="shared" si="31"/>
        <v>478</v>
      </c>
      <c r="F64" s="1">
        <f t="shared" si="31"/>
        <v>413</v>
      </c>
      <c r="G64" s="1">
        <f t="shared" si="31"/>
        <v>448</v>
      </c>
      <c r="H64" s="1">
        <f t="shared" si="31"/>
        <v>361</v>
      </c>
      <c r="I64" s="1">
        <f t="shared" si="31"/>
        <v>331</v>
      </c>
      <c r="J64" s="1">
        <f t="shared" si="31"/>
        <v>385</v>
      </c>
      <c r="K64" s="1">
        <f t="shared" si="31"/>
        <v>396</v>
      </c>
      <c r="L64" s="1">
        <f t="shared" si="31"/>
        <v>268</v>
      </c>
      <c r="M64" s="1">
        <f t="shared" si="31"/>
        <v>391</v>
      </c>
      <c r="N64" s="1">
        <f>SUM(B64:M64)</f>
        <v>5009</v>
      </c>
    </row>
    <row r="65" spans="1:14" x14ac:dyDescent="0.25">
      <c r="A65" s="3" t="s">
        <v>65</v>
      </c>
      <c r="B65" s="99">
        <f>SUM(B64/B63)</f>
        <v>0.12996606109003794</v>
      </c>
      <c r="C65" s="99">
        <f t="shared" ref="C65:M65" si="32">SUM(C64/C63)</f>
        <v>8.8440806548213222E-2</v>
      </c>
      <c r="D65" s="99">
        <f t="shared" si="32"/>
        <v>8.8640447195048919E-2</v>
      </c>
      <c r="E65" s="99">
        <f t="shared" si="32"/>
        <v>9.5428229187462563E-2</v>
      </c>
      <c r="F65" s="99">
        <f t="shared" si="32"/>
        <v>8.2451587143142338E-2</v>
      </c>
      <c r="G65" s="99">
        <f t="shared" si="32"/>
        <v>8.9439009782391693E-2</v>
      </c>
      <c r="H65" s="99">
        <f t="shared" si="32"/>
        <v>7.2070273507686161E-2</v>
      </c>
      <c r="I65" s="99">
        <f t="shared" si="32"/>
        <v>6.6081054102615291E-2</v>
      </c>
      <c r="J65" s="99">
        <f t="shared" si="32"/>
        <v>7.6861649031742862E-2</v>
      </c>
      <c r="K65" s="99">
        <f t="shared" si="32"/>
        <v>7.9057696146935516E-2</v>
      </c>
      <c r="L65" s="99">
        <f t="shared" si="32"/>
        <v>5.3503693351966461E-2</v>
      </c>
      <c r="M65" s="99">
        <f t="shared" si="32"/>
        <v>7.8059492912757031E-2</v>
      </c>
      <c r="N65" s="99">
        <f>SUM(B65:M65)</f>
        <v>1</v>
      </c>
    </row>
  </sheetData>
  <sheetProtection algorithmName="SHA-512" hashValue="mQECHMoi5o5M9hEcWoZMLGB2MIjS203QdGAhA+Qp1vHS4WaJgrLgQ6NpVkFk9MJnjgZrspTXPf8B0wfZlFgpsw==" saltValue="Qm4HYqSv5s9ycsGi49KbQg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D626F-082A-4517-896D-B32997900A9C}">
  <sheetPr>
    <tabColor theme="5" tint="-0.249977111117893"/>
    <pageSetUpPr fitToPage="1"/>
  </sheetPr>
  <dimension ref="A1:P85"/>
  <sheetViews>
    <sheetView workbookViewId="0"/>
  </sheetViews>
  <sheetFormatPr defaultRowHeight="15" x14ac:dyDescent="0.25"/>
  <cols>
    <col min="1" max="13" width="12.7109375" customWidth="1"/>
    <col min="14" max="14" width="15.7109375" customWidth="1"/>
    <col min="15" max="16" width="10.7109375" customWidth="1"/>
  </cols>
  <sheetData>
    <row r="1" spans="1:15" ht="21" x14ac:dyDescent="0.35">
      <c r="A1" t="s">
        <v>42</v>
      </c>
      <c r="B1" s="215" t="s">
        <v>62</v>
      </c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</row>
    <row r="2" spans="1:15" ht="21" x14ac:dyDescent="0.35">
      <c r="B2" s="215" t="s">
        <v>175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</row>
    <row r="3" spans="1:15" ht="21" x14ac:dyDescent="0.35">
      <c r="H3" s="4"/>
    </row>
    <row r="24" spans="1:16" x14ac:dyDescent="0.25">
      <c r="B24" s="96" t="s">
        <v>43</v>
      </c>
      <c r="C24" s="96" t="s">
        <v>44</v>
      </c>
      <c r="D24" s="96" t="s">
        <v>45</v>
      </c>
      <c r="E24" s="96" t="s">
        <v>46</v>
      </c>
      <c r="F24" s="96" t="s">
        <v>47</v>
      </c>
      <c r="G24" s="96" t="s">
        <v>48</v>
      </c>
      <c r="H24" s="96" t="s">
        <v>49</v>
      </c>
      <c r="I24" s="96" t="s">
        <v>50</v>
      </c>
      <c r="J24" s="96" t="s">
        <v>27</v>
      </c>
      <c r="K24" s="96" t="s">
        <v>51</v>
      </c>
      <c r="L24" s="96" t="s">
        <v>52</v>
      </c>
      <c r="M24" s="96" t="s">
        <v>53</v>
      </c>
      <c r="N24" s="97" t="s">
        <v>54</v>
      </c>
      <c r="O24" s="120" t="s">
        <v>78</v>
      </c>
      <c r="P24" s="121" t="s">
        <v>73</v>
      </c>
    </row>
    <row r="25" spans="1:16" ht="15.75" x14ac:dyDescent="0.25">
      <c r="A25" s="49" t="s">
        <v>171</v>
      </c>
      <c r="B25" s="1">
        <v>8232</v>
      </c>
      <c r="C25" s="1">
        <v>8877</v>
      </c>
      <c r="D25" s="203">
        <v>8266</v>
      </c>
      <c r="E25" s="111">
        <f t="shared" ref="E25:M25" si="0">SUM(E46)</f>
        <v>11070.4237616459</v>
      </c>
      <c r="F25" s="111">
        <f t="shared" si="0"/>
        <v>9881.4593407772609</v>
      </c>
      <c r="G25" s="111">
        <f t="shared" si="0"/>
        <v>10431.737523055588</v>
      </c>
      <c r="H25" s="111">
        <f t="shared" si="0"/>
        <v>10122.309325963644</v>
      </c>
      <c r="I25" s="111">
        <f t="shared" si="0"/>
        <v>9688.9446013315392</v>
      </c>
      <c r="J25" s="111">
        <f t="shared" si="0"/>
        <v>10641.190254598465</v>
      </c>
      <c r="K25" s="111">
        <f t="shared" si="0"/>
        <v>10696.54857023307</v>
      </c>
      <c r="L25" s="111">
        <f t="shared" si="0"/>
        <v>10920.4605633223</v>
      </c>
      <c r="M25" s="111">
        <f t="shared" si="0"/>
        <v>10877.909022200176</v>
      </c>
      <c r="N25" s="200">
        <f>SUM(B25:M25)</f>
        <v>119705.98296312796</v>
      </c>
      <c r="O25" s="122">
        <f>SUM(N25-N26)</f>
        <v>16005.982963127957</v>
      </c>
      <c r="P25" s="123">
        <f>SUM(O25/N26)</f>
        <v>0.15434891960586267</v>
      </c>
    </row>
    <row r="26" spans="1:16" ht="15.75" x14ac:dyDescent="0.25">
      <c r="A26" s="49" t="s">
        <v>61</v>
      </c>
      <c r="B26" s="1">
        <v>6963</v>
      </c>
      <c r="C26" s="1">
        <v>7939</v>
      </c>
      <c r="D26" s="1">
        <v>8040</v>
      </c>
      <c r="E26" s="1">
        <v>9122</v>
      </c>
      <c r="F26" s="1">
        <v>7981</v>
      </c>
      <c r="G26" s="1">
        <v>8357</v>
      </c>
      <c r="H26" s="1">
        <v>9381</v>
      </c>
      <c r="I26" s="1">
        <v>9433</v>
      </c>
      <c r="J26" s="1">
        <v>8988</v>
      </c>
      <c r="K26" s="1">
        <v>9855</v>
      </c>
      <c r="L26" s="1">
        <v>9484</v>
      </c>
      <c r="M26" s="201">
        <v>8157</v>
      </c>
      <c r="N26" s="2">
        <f>SUM(B26:M26)</f>
        <v>103700</v>
      </c>
      <c r="O26" s="122">
        <f>SUM(N26-N27)</f>
        <v>15861</v>
      </c>
      <c r="P26" s="123">
        <f>SUM(O26/N27)</f>
        <v>0.18056899554867428</v>
      </c>
    </row>
    <row r="27" spans="1:16" ht="15.75" x14ac:dyDescent="0.25">
      <c r="A27" s="49" t="s">
        <v>34</v>
      </c>
      <c r="B27" s="1">
        <v>5438</v>
      </c>
      <c r="C27" s="1">
        <v>7010</v>
      </c>
      <c r="D27" s="1">
        <v>7284</v>
      </c>
      <c r="E27" s="1">
        <v>8234</v>
      </c>
      <c r="F27" s="1">
        <v>7628</v>
      </c>
      <c r="G27" s="1">
        <v>7211</v>
      </c>
      <c r="H27" s="1">
        <v>7731</v>
      </c>
      <c r="I27" s="1">
        <v>6673</v>
      </c>
      <c r="J27" s="1">
        <v>7524</v>
      </c>
      <c r="K27" s="193">
        <v>7044</v>
      </c>
      <c r="L27" s="1">
        <v>8126</v>
      </c>
      <c r="M27" s="1">
        <v>7936</v>
      </c>
      <c r="N27" s="2">
        <f t="shared" ref="N27:N29" si="1">SUM(B27:M27)</f>
        <v>87839</v>
      </c>
      <c r="O27" s="122">
        <f>SUM(N27-N28)</f>
        <v>32286</v>
      </c>
      <c r="P27" s="123">
        <f>SUM(O27/N28)</f>
        <v>0.58117473403776576</v>
      </c>
    </row>
    <row r="28" spans="1:16" ht="15.75" x14ac:dyDescent="0.25">
      <c r="A28" s="49" t="s">
        <v>31</v>
      </c>
      <c r="B28" s="115">
        <v>4250</v>
      </c>
      <c r="C28" s="1">
        <v>4200</v>
      </c>
      <c r="D28" s="1">
        <v>3927</v>
      </c>
      <c r="E28" s="1">
        <v>4539</v>
      </c>
      <c r="F28" s="1">
        <v>4263</v>
      </c>
      <c r="G28" s="1">
        <v>4686</v>
      </c>
      <c r="H28" s="1">
        <v>4046</v>
      </c>
      <c r="I28" s="1">
        <v>4081</v>
      </c>
      <c r="J28" s="73">
        <v>5144</v>
      </c>
      <c r="K28" s="1">
        <v>5037</v>
      </c>
      <c r="L28" s="1">
        <v>5321</v>
      </c>
      <c r="M28" s="1">
        <v>6059</v>
      </c>
      <c r="N28" s="2">
        <f t="shared" si="1"/>
        <v>55553</v>
      </c>
      <c r="O28" s="122">
        <f>SUM(N28-N29)</f>
        <v>6296</v>
      </c>
      <c r="P28" s="123">
        <f>SUM(O28/N29)</f>
        <v>0.1278193962279473</v>
      </c>
    </row>
    <row r="29" spans="1:16" ht="15.75" x14ac:dyDescent="0.25">
      <c r="A29" s="49" t="s">
        <v>14</v>
      </c>
      <c r="B29" s="1">
        <v>4373</v>
      </c>
      <c r="C29" s="1">
        <v>4166</v>
      </c>
      <c r="D29" s="1">
        <v>4422</v>
      </c>
      <c r="E29" s="1">
        <v>4902</v>
      </c>
      <c r="F29" s="1">
        <v>4047</v>
      </c>
      <c r="G29" s="1">
        <v>4997</v>
      </c>
      <c r="H29" s="1">
        <v>3344</v>
      </c>
      <c r="I29" s="1">
        <v>3266</v>
      </c>
      <c r="J29" s="116">
        <v>4102</v>
      </c>
      <c r="K29" s="1">
        <v>3956</v>
      </c>
      <c r="L29" s="1">
        <v>3503</v>
      </c>
      <c r="M29" s="1">
        <v>4179</v>
      </c>
      <c r="N29" s="2">
        <f t="shared" si="1"/>
        <v>49257</v>
      </c>
      <c r="O29" s="124"/>
      <c r="P29" s="125"/>
    </row>
    <row r="31" spans="1:16" x14ac:dyDescent="0.25">
      <c r="J31" s="103" t="s">
        <v>57</v>
      </c>
    </row>
    <row r="32" spans="1:16" x14ac:dyDescent="0.25">
      <c r="A32" s="3" t="s">
        <v>58</v>
      </c>
      <c r="B32" s="96" t="s">
        <v>43</v>
      </c>
      <c r="C32" s="96" t="s">
        <v>44</v>
      </c>
      <c r="D32" s="96" t="s">
        <v>45</v>
      </c>
      <c r="E32" s="96" t="s">
        <v>46</v>
      </c>
      <c r="F32" s="96" t="s">
        <v>47</v>
      </c>
      <c r="G32" s="96" t="s">
        <v>48</v>
      </c>
      <c r="H32" s="96" t="s">
        <v>49</v>
      </c>
      <c r="I32" s="96" t="s">
        <v>50</v>
      </c>
      <c r="J32" s="112" t="s">
        <v>27</v>
      </c>
      <c r="K32" s="96" t="s">
        <v>51</v>
      </c>
      <c r="L32" s="96" t="s">
        <v>52</v>
      </c>
      <c r="M32" s="96" t="s">
        <v>53</v>
      </c>
      <c r="N32" s="97" t="s">
        <v>54</v>
      </c>
    </row>
    <row r="33" spans="1:15" ht="15.75" x14ac:dyDescent="0.25">
      <c r="A33" s="49" t="s">
        <v>59</v>
      </c>
      <c r="B33" s="1">
        <v>8788</v>
      </c>
      <c r="C33" s="1">
        <v>8589</v>
      </c>
      <c r="D33" s="1">
        <v>7654</v>
      </c>
      <c r="E33" s="1">
        <v>9146</v>
      </c>
      <c r="F33" s="1">
        <v>7532</v>
      </c>
      <c r="G33" s="1">
        <v>7312</v>
      </c>
      <c r="H33" s="1">
        <v>8839</v>
      </c>
      <c r="I33" s="1">
        <v>8400</v>
      </c>
      <c r="J33" s="113">
        <f>6095+557</f>
        <v>6652</v>
      </c>
      <c r="K33" s="1">
        <v>2476</v>
      </c>
      <c r="L33" s="1">
        <v>2923</v>
      </c>
      <c r="M33" s="1">
        <v>3843</v>
      </c>
      <c r="N33" s="2">
        <f>SUM(B33:M33)</f>
        <v>82154</v>
      </c>
    </row>
    <row r="35" spans="1:15" x14ac:dyDescent="0.25">
      <c r="B35" s="96" t="s">
        <v>43</v>
      </c>
      <c r="C35" s="96" t="s">
        <v>44</v>
      </c>
      <c r="D35" s="96" t="s">
        <v>45</v>
      </c>
      <c r="E35" s="96" t="s">
        <v>46</v>
      </c>
      <c r="F35" s="96" t="s">
        <v>47</v>
      </c>
      <c r="G35" s="96" t="s">
        <v>48</v>
      </c>
      <c r="H35" s="96" t="s">
        <v>49</v>
      </c>
      <c r="I35" s="96" t="s">
        <v>50</v>
      </c>
      <c r="J35" s="96" t="s">
        <v>27</v>
      </c>
      <c r="K35" s="96" t="s">
        <v>51</v>
      </c>
      <c r="L35" s="96" t="s">
        <v>52</v>
      </c>
      <c r="M35" s="96" t="s">
        <v>53</v>
      </c>
      <c r="N35" s="97" t="s">
        <v>54</v>
      </c>
    </row>
    <row r="36" spans="1:15" ht="45" x14ac:dyDescent="0.25">
      <c r="A36" s="5" t="s">
        <v>60</v>
      </c>
      <c r="B36" s="99">
        <f>SUM(B81)</f>
        <v>7.0943380946114215E-2</v>
      </c>
      <c r="C36" s="99">
        <f t="shared" ref="C36:M36" si="2">SUM(C81)</f>
        <v>7.8674130838977022E-2</v>
      </c>
      <c r="D36" s="99">
        <f t="shared" si="2"/>
        <v>7.9882165959729912E-2</v>
      </c>
      <c r="E36" s="99">
        <f t="shared" si="2"/>
        <v>9.0423790868199322E-2</v>
      </c>
      <c r="F36" s="99">
        <f t="shared" si="2"/>
        <v>8.0712268305275198E-2</v>
      </c>
      <c r="G36" s="99">
        <f t="shared" si="2"/>
        <v>8.5206968810422848E-2</v>
      </c>
      <c r="H36" s="99">
        <f t="shared" si="2"/>
        <v>8.2679543376221951E-2</v>
      </c>
      <c r="I36" s="99">
        <f t="shared" si="2"/>
        <v>7.9139798008429255E-2</v>
      </c>
      <c r="J36" s="99">
        <f t="shared" si="2"/>
        <v>8.691778949819301E-2</v>
      </c>
      <c r="K36" s="99">
        <f t="shared" si="2"/>
        <v>8.7369959068530678E-2</v>
      </c>
      <c r="L36" s="99">
        <f t="shared" si="2"/>
        <v>8.9198883748553226E-2</v>
      </c>
      <c r="M36" s="99">
        <f t="shared" si="2"/>
        <v>8.8851320571353365E-2</v>
      </c>
      <c r="N36" s="99">
        <f>SUM(B36:M36)</f>
        <v>1</v>
      </c>
    </row>
    <row r="38" spans="1:15" x14ac:dyDescent="0.25">
      <c r="A38" s="107" t="s">
        <v>63</v>
      </c>
    </row>
    <row r="39" spans="1:15" ht="15.75" x14ac:dyDescent="0.25">
      <c r="A39" s="114" t="s">
        <v>174</v>
      </c>
      <c r="B39" s="111"/>
      <c r="C39" s="111"/>
      <c r="D39" s="111"/>
      <c r="E39" s="111"/>
      <c r="F39" s="111"/>
      <c r="G39" s="111"/>
      <c r="H39" s="111"/>
    </row>
    <row r="40" spans="1:15" x14ac:dyDescent="0.25">
      <c r="A40" s="101" t="s">
        <v>61</v>
      </c>
      <c r="B40" s="96" t="s">
        <v>43</v>
      </c>
      <c r="C40" s="96" t="s">
        <v>44</v>
      </c>
      <c r="D40" s="96" t="s">
        <v>45</v>
      </c>
      <c r="E40" s="96" t="s">
        <v>46</v>
      </c>
      <c r="F40" s="96" t="s">
        <v>47</v>
      </c>
      <c r="G40" s="96" t="s">
        <v>48</v>
      </c>
      <c r="H40" s="96" t="s">
        <v>49</v>
      </c>
      <c r="I40" s="96" t="s">
        <v>50</v>
      </c>
      <c r="J40" s="96" t="s">
        <v>27</v>
      </c>
      <c r="K40" s="96" t="s">
        <v>51</v>
      </c>
      <c r="L40" s="96" t="s">
        <v>52</v>
      </c>
      <c r="M40" s="96" t="s">
        <v>53</v>
      </c>
      <c r="N40" s="97" t="s">
        <v>54</v>
      </c>
    </row>
    <row r="41" spans="1:15" hidden="1" x14ac:dyDescent="0.25">
      <c r="A41" s="3" t="s">
        <v>66</v>
      </c>
      <c r="B41" s="1">
        <f>SUM(N41)</f>
        <v>119705.98296312796</v>
      </c>
      <c r="C41" s="1">
        <f t="shared" ref="C41" si="3">SUM(B41)</f>
        <v>119705.98296312796</v>
      </c>
      <c r="D41" s="1">
        <f t="shared" ref="D41" si="4">SUM(C41)</f>
        <v>119705.98296312796</v>
      </c>
      <c r="E41" s="1">
        <f t="shared" ref="E41" si="5">SUM(D41)</f>
        <v>119705.98296312796</v>
      </c>
      <c r="F41" s="1">
        <f t="shared" ref="F41" si="6">SUM(E41)</f>
        <v>119705.98296312796</v>
      </c>
      <c r="G41" s="1">
        <f t="shared" ref="G41" si="7">SUM(F41)</f>
        <v>119705.98296312796</v>
      </c>
      <c r="H41" s="1">
        <f t="shared" ref="H41" si="8">SUM(G41)</f>
        <v>119705.98296312796</v>
      </c>
      <c r="I41" s="1">
        <f t="shared" ref="I41" si="9">SUM(H41)</f>
        <v>119705.98296312796</v>
      </c>
      <c r="J41" s="1">
        <f t="shared" ref="J41" si="10">SUM(I41)</f>
        <v>119705.98296312796</v>
      </c>
      <c r="K41" s="1">
        <f t="shared" ref="K41" si="11">SUM(J41)</f>
        <v>119705.98296312796</v>
      </c>
      <c r="L41" s="1">
        <f t="shared" ref="L41" si="12">SUM(K41)</f>
        <v>119705.98296312796</v>
      </c>
      <c r="M41" s="1">
        <f t="shared" ref="M41" si="13">SUM(L41)</f>
        <v>119705.98296312796</v>
      </c>
      <c r="N41" s="1">
        <f>SUM(N25)</f>
        <v>119705.98296312796</v>
      </c>
    </row>
    <row r="42" spans="1:15" x14ac:dyDescent="0.25">
      <c r="A42" s="3" t="s">
        <v>67</v>
      </c>
      <c r="B42" s="1">
        <f>SUM(B25)</f>
        <v>8232</v>
      </c>
      <c r="C42" s="1">
        <f t="shared" ref="C42:M42" si="14">SUM(C25)</f>
        <v>8877</v>
      </c>
      <c r="D42" s="1">
        <f t="shared" si="14"/>
        <v>8266</v>
      </c>
      <c r="E42" s="1">
        <f t="shared" si="14"/>
        <v>11070.4237616459</v>
      </c>
      <c r="F42" s="1">
        <f t="shared" si="14"/>
        <v>9881.4593407772609</v>
      </c>
      <c r="G42" s="1">
        <f t="shared" si="14"/>
        <v>10431.737523055588</v>
      </c>
      <c r="H42" s="1">
        <f t="shared" si="14"/>
        <v>10122.309325963644</v>
      </c>
      <c r="I42" s="1">
        <f t="shared" si="14"/>
        <v>9688.9446013315392</v>
      </c>
      <c r="J42" s="1">
        <f t="shared" si="14"/>
        <v>10641.190254598465</v>
      </c>
      <c r="K42" s="1">
        <f t="shared" si="14"/>
        <v>10696.54857023307</v>
      </c>
      <c r="L42" s="1">
        <f t="shared" si="14"/>
        <v>10920.4605633223</v>
      </c>
      <c r="M42" s="1">
        <f t="shared" si="14"/>
        <v>10877.909022200176</v>
      </c>
      <c r="N42" s="1">
        <f>SUM(B42:M42)</f>
        <v>119705.98296312796</v>
      </c>
    </row>
    <row r="43" spans="1:15" x14ac:dyDescent="0.25">
      <c r="A43" s="3" t="s">
        <v>65</v>
      </c>
      <c r="B43" s="99">
        <f>SUM(B42/B41)</f>
        <v>6.8768492570130221E-2</v>
      </c>
      <c r="C43" s="99">
        <f t="shared" ref="C43:M43" si="15">SUM(C42/C41)</f>
        <v>7.4156694429670308E-2</v>
      </c>
      <c r="D43" s="99">
        <f t="shared" si="15"/>
        <v>6.9052521815439319E-2</v>
      </c>
      <c r="E43" s="99">
        <f t="shared" si="15"/>
        <v>9.2480120772708826E-2</v>
      </c>
      <c r="F43" s="99">
        <f t="shared" si="15"/>
        <v>8.2547748209218286E-2</v>
      </c>
      <c r="G43" s="99">
        <f t="shared" si="15"/>
        <v>8.7144662821646846E-2</v>
      </c>
      <c r="H43" s="99">
        <f t="shared" si="15"/>
        <v>8.4559761136429878E-2</v>
      </c>
      <c r="I43" s="99">
        <f t="shared" si="15"/>
        <v>8.0939518322287574E-2</v>
      </c>
      <c r="J43" s="99">
        <f t="shared" si="15"/>
        <v>8.8894389329530699E-2</v>
      </c>
      <c r="K43" s="99">
        <f t="shared" si="15"/>
        <v>8.9356841700450676E-2</v>
      </c>
      <c r="L43" s="99">
        <f t="shared" si="15"/>
        <v>9.1227358006709142E-2</v>
      </c>
      <c r="M43" s="99">
        <f t="shared" si="15"/>
        <v>9.08718908857781E-2</v>
      </c>
      <c r="N43" s="99">
        <f>SUM(B43:M43)</f>
        <v>0.99999999999999989</v>
      </c>
      <c r="O43" s="101" t="s">
        <v>56</v>
      </c>
    </row>
    <row r="44" spans="1:15" x14ac:dyDescent="0.25">
      <c r="A44" s="109" t="s">
        <v>69</v>
      </c>
      <c r="B44" s="102">
        <f t="shared" ref="B44:N44" si="16">SUM(B42-B50)/B50</f>
        <v>0.18224903059026282</v>
      </c>
      <c r="C44" s="102">
        <f t="shared" si="16"/>
        <v>0.11815090061720619</v>
      </c>
      <c r="D44" s="102">
        <f t="shared" si="16"/>
        <v>2.8109452736318409E-2</v>
      </c>
      <c r="E44" s="102">
        <f t="shared" si="16"/>
        <v>0.21359611506751802</v>
      </c>
      <c r="F44" s="102">
        <f t="shared" si="16"/>
        <v>0.23812295962627</v>
      </c>
      <c r="G44" s="102">
        <f t="shared" si="16"/>
        <v>0.24826343461237144</v>
      </c>
      <c r="H44" s="102">
        <f t="shared" si="16"/>
        <v>7.9022420420386347E-2</v>
      </c>
      <c r="I44" s="102">
        <f t="shared" si="16"/>
        <v>2.7132895296463389E-2</v>
      </c>
      <c r="J44" s="102">
        <f t="shared" si="16"/>
        <v>0.18393305013334055</v>
      </c>
      <c r="K44" s="102">
        <f t="shared" si="16"/>
        <v>8.539305634024047E-2</v>
      </c>
      <c r="L44" s="102">
        <f t="shared" si="16"/>
        <v>0.15146146808543864</v>
      </c>
      <c r="M44" s="102">
        <f t="shared" si="16"/>
        <v>0.33356736817459554</v>
      </c>
      <c r="N44" s="102">
        <f t="shared" si="16"/>
        <v>0.15434891960586267</v>
      </c>
      <c r="O44" s="110">
        <f>SUM(N42-N50)</f>
        <v>16005.982963127957</v>
      </c>
    </row>
    <row r="45" spans="1:15" hidden="1" x14ac:dyDescent="0.25">
      <c r="A45" s="205" t="s">
        <v>181</v>
      </c>
      <c r="B45" s="111">
        <f>SUM(N26*1.1806)</f>
        <v>122428.22000000002</v>
      </c>
      <c r="C45" s="111">
        <f>SUM(B45)</f>
        <v>122428.22000000002</v>
      </c>
      <c r="D45" s="111">
        <f t="shared" ref="D45:N45" si="17">SUM(C45)</f>
        <v>122428.22000000002</v>
      </c>
      <c r="E45" s="111">
        <f t="shared" si="17"/>
        <v>122428.22000000002</v>
      </c>
      <c r="F45" s="111">
        <f t="shared" si="17"/>
        <v>122428.22000000002</v>
      </c>
      <c r="G45" s="111">
        <f t="shared" si="17"/>
        <v>122428.22000000002</v>
      </c>
      <c r="H45" s="111">
        <f t="shared" si="17"/>
        <v>122428.22000000002</v>
      </c>
      <c r="I45" s="111">
        <f t="shared" si="17"/>
        <v>122428.22000000002</v>
      </c>
      <c r="J45" s="111">
        <f t="shared" si="17"/>
        <v>122428.22000000002</v>
      </c>
      <c r="K45" s="111">
        <f t="shared" si="17"/>
        <v>122428.22000000002</v>
      </c>
      <c r="L45" s="111">
        <f t="shared" si="17"/>
        <v>122428.22000000002</v>
      </c>
      <c r="M45" s="111">
        <f t="shared" si="17"/>
        <v>122428.22000000002</v>
      </c>
      <c r="N45" s="111">
        <f t="shared" si="17"/>
        <v>122428.22000000002</v>
      </c>
    </row>
    <row r="46" spans="1:15" x14ac:dyDescent="0.25">
      <c r="A46" s="204" t="s">
        <v>180</v>
      </c>
      <c r="B46" s="111">
        <f>SUM(B45*B36)</f>
        <v>8685.471850014681</v>
      </c>
      <c r="C46" s="111">
        <f t="shared" ref="C46:M46" si="18">SUM(C45*C36)</f>
        <v>9631.9337986630653</v>
      </c>
      <c r="D46" s="111">
        <f t="shared" si="18"/>
        <v>9779.8313881943268</v>
      </c>
      <c r="E46" s="111">
        <f t="shared" si="18"/>
        <v>11070.4237616459</v>
      </c>
      <c r="F46" s="111">
        <f t="shared" si="18"/>
        <v>9881.4593407772609</v>
      </c>
      <c r="G46" s="111">
        <f t="shared" si="18"/>
        <v>10431.737523055588</v>
      </c>
      <c r="H46" s="111">
        <f t="shared" si="18"/>
        <v>10122.309325963644</v>
      </c>
      <c r="I46" s="111">
        <f t="shared" si="18"/>
        <v>9688.9446013315392</v>
      </c>
      <c r="J46" s="111">
        <f t="shared" si="18"/>
        <v>10641.190254598465</v>
      </c>
      <c r="K46" s="111">
        <f t="shared" si="18"/>
        <v>10696.54857023307</v>
      </c>
      <c r="L46" s="111">
        <f t="shared" si="18"/>
        <v>10920.4605633223</v>
      </c>
      <c r="M46" s="111">
        <f t="shared" si="18"/>
        <v>10877.909022200176</v>
      </c>
      <c r="N46" s="111">
        <f>SUM(B46:M46)</f>
        <v>122428.22000000003</v>
      </c>
    </row>
    <row r="47" spans="1:15" ht="15.75" x14ac:dyDescent="0.25">
      <c r="A47" s="98" t="s">
        <v>173</v>
      </c>
      <c r="B47" s="1"/>
      <c r="C47" s="1"/>
      <c r="D47" s="1"/>
      <c r="E47" s="1"/>
      <c r="F47" s="1"/>
      <c r="G47" s="1"/>
      <c r="H47" s="1"/>
    </row>
    <row r="48" spans="1:15" x14ac:dyDescent="0.25">
      <c r="A48" s="101" t="s">
        <v>61</v>
      </c>
      <c r="B48" s="96" t="s">
        <v>43</v>
      </c>
      <c r="C48" s="96" t="s">
        <v>44</v>
      </c>
      <c r="D48" s="96" t="s">
        <v>45</v>
      </c>
      <c r="E48" s="96" t="s">
        <v>46</v>
      </c>
      <c r="F48" s="96" t="s">
        <v>47</v>
      </c>
      <c r="G48" s="96" t="s">
        <v>48</v>
      </c>
      <c r="H48" s="96" t="s">
        <v>49</v>
      </c>
      <c r="I48" s="96" t="s">
        <v>50</v>
      </c>
      <c r="J48" s="96" t="s">
        <v>27</v>
      </c>
      <c r="K48" s="96" t="s">
        <v>51</v>
      </c>
      <c r="L48" s="96" t="s">
        <v>52</v>
      </c>
      <c r="M48" s="96" t="s">
        <v>53</v>
      </c>
      <c r="N48" s="97" t="s">
        <v>54</v>
      </c>
    </row>
    <row r="49" spans="1:15" hidden="1" x14ac:dyDescent="0.25">
      <c r="A49" s="3" t="s">
        <v>66</v>
      </c>
      <c r="B49" s="1">
        <f>SUM(N49)</f>
        <v>103700</v>
      </c>
      <c r="C49" s="1">
        <f t="shared" ref="C49:M49" si="19">SUM(B49)</f>
        <v>103700</v>
      </c>
      <c r="D49" s="1">
        <f t="shared" si="19"/>
        <v>103700</v>
      </c>
      <c r="E49" s="1">
        <f t="shared" si="19"/>
        <v>103700</v>
      </c>
      <c r="F49" s="1">
        <f t="shared" si="19"/>
        <v>103700</v>
      </c>
      <c r="G49" s="1">
        <f t="shared" si="19"/>
        <v>103700</v>
      </c>
      <c r="H49" s="1">
        <f t="shared" si="19"/>
        <v>103700</v>
      </c>
      <c r="I49" s="1">
        <f t="shared" si="19"/>
        <v>103700</v>
      </c>
      <c r="J49" s="1">
        <f t="shared" si="19"/>
        <v>103700</v>
      </c>
      <c r="K49" s="1">
        <f t="shared" si="19"/>
        <v>103700</v>
      </c>
      <c r="L49" s="1">
        <f t="shared" si="19"/>
        <v>103700</v>
      </c>
      <c r="M49" s="1">
        <f t="shared" si="19"/>
        <v>103700</v>
      </c>
      <c r="N49" s="1">
        <f>SUM(N26)</f>
        <v>103700</v>
      </c>
    </row>
    <row r="50" spans="1:15" x14ac:dyDescent="0.25">
      <c r="A50" s="3" t="s">
        <v>67</v>
      </c>
      <c r="B50" s="1">
        <f t="shared" ref="B50:M50" si="20">SUM(B26)</f>
        <v>6963</v>
      </c>
      <c r="C50" s="1">
        <f t="shared" si="20"/>
        <v>7939</v>
      </c>
      <c r="D50" s="1">
        <f t="shared" si="20"/>
        <v>8040</v>
      </c>
      <c r="E50" s="1">
        <f t="shared" si="20"/>
        <v>9122</v>
      </c>
      <c r="F50" s="1">
        <f t="shared" si="20"/>
        <v>7981</v>
      </c>
      <c r="G50" s="1">
        <f t="shared" si="20"/>
        <v>8357</v>
      </c>
      <c r="H50" s="1">
        <f t="shared" si="20"/>
        <v>9381</v>
      </c>
      <c r="I50" s="1">
        <f t="shared" si="20"/>
        <v>9433</v>
      </c>
      <c r="J50" s="1">
        <f t="shared" si="20"/>
        <v>8988</v>
      </c>
      <c r="K50" s="1">
        <f t="shared" si="20"/>
        <v>9855</v>
      </c>
      <c r="L50" s="1">
        <f t="shared" si="20"/>
        <v>9484</v>
      </c>
      <c r="M50" s="1">
        <f t="shared" si="20"/>
        <v>8157</v>
      </c>
      <c r="N50" s="1">
        <f>SUM(B50:M50)</f>
        <v>103700</v>
      </c>
    </row>
    <row r="51" spans="1:15" x14ac:dyDescent="0.25">
      <c r="A51" s="3" t="s">
        <v>65</v>
      </c>
      <c r="B51" s="99">
        <f>SUM(B50/B49)</f>
        <v>6.7145612343297981E-2</v>
      </c>
      <c r="C51" s="99">
        <f t="shared" ref="C51" si="21">SUM(C50/C49)</f>
        <v>7.6557377049180322E-2</v>
      </c>
      <c r="D51" s="99">
        <f t="shared" ref="D51" si="22">SUM(D50/D49)</f>
        <v>7.7531340405014471E-2</v>
      </c>
      <c r="E51" s="99">
        <f t="shared" ref="E51" si="23">SUM(E50/E49)</f>
        <v>8.7965284474445515E-2</v>
      </c>
      <c r="F51" s="99">
        <f t="shared" ref="F51" si="24">SUM(F50/F49)</f>
        <v>7.6962391513982639E-2</v>
      </c>
      <c r="G51" s="99">
        <f t="shared" ref="G51" si="25">SUM(G50/G49)</f>
        <v>8.0588235294117641E-2</v>
      </c>
      <c r="H51" s="99">
        <f t="shared" ref="H51" si="26">SUM(H50/H49)</f>
        <v>9.0462873674059793E-2</v>
      </c>
      <c r="I51" s="99">
        <f t="shared" ref="I51" si="27">SUM(I50/I49)</f>
        <v>9.096432015429122E-2</v>
      </c>
      <c r="J51" s="99">
        <f t="shared" ref="J51" si="28">SUM(J50/J49)</f>
        <v>8.6673095467695277E-2</v>
      </c>
      <c r="K51" s="99">
        <f t="shared" ref="K51" si="29">SUM(K50/K49)</f>
        <v>9.5033751205400196E-2</v>
      </c>
      <c r="L51" s="99">
        <f t="shared" ref="L51" si="30">SUM(L50/L49)</f>
        <v>9.145612343297975E-2</v>
      </c>
      <c r="M51" s="99">
        <f t="shared" ref="M51" si="31">SUM(M50/M49)</f>
        <v>7.8659594985535194E-2</v>
      </c>
      <c r="N51" s="99">
        <f>SUM(B51:M51)</f>
        <v>1</v>
      </c>
      <c r="O51" s="101" t="s">
        <v>56</v>
      </c>
    </row>
    <row r="52" spans="1:15" x14ac:dyDescent="0.25">
      <c r="A52" s="109" t="s">
        <v>69</v>
      </c>
      <c r="B52" s="102">
        <f t="shared" ref="B52:N52" si="32">SUM(B50-B57)/B57</f>
        <v>0.28043398308201545</v>
      </c>
      <c r="C52" s="102">
        <f t="shared" si="32"/>
        <v>0.13252496433666192</v>
      </c>
      <c r="D52" s="102">
        <f t="shared" si="32"/>
        <v>0.10378912685337727</v>
      </c>
      <c r="E52" s="102">
        <f t="shared" si="32"/>
        <v>0.10784551858149138</v>
      </c>
      <c r="F52" s="102">
        <f t="shared" si="32"/>
        <v>4.6276874672260097E-2</v>
      </c>
      <c r="G52" s="102">
        <f t="shared" si="32"/>
        <v>0.15892386631535155</v>
      </c>
      <c r="H52" s="102">
        <f t="shared" si="32"/>
        <v>0.21342646488164532</v>
      </c>
      <c r="I52" s="102">
        <f t="shared" si="32"/>
        <v>0.41360707328038365</v>
      </c>
      <c r="J52" s="102">
        <f t="shared" si="32"/>
        <v>0.19457735247208932</v>
      </c>
      <c r="K52" s="102">
        <f t="shared" si="32"/>
        <v>0.39906303236797275</v>
      </c>
      <c r="L52" s="102">
        <f t="shared" si="32"/>
        <v>0.16711789318237755</v>
      </c>
      <c r="M52" s="102">
        <f t="shared" si="32"/>
        <v>2.7847782258064516E-2</v>
      </c>
      <c r="N52" s="102">
        <f t="shared" si="32"/>
        <v>0.18056899554867428</v>
      </c>
      <c r="O52" s="110">
        <f>SUM(N50-N57)</f>
        <v>15861</v>
      </c>
    </row>
    <row r="54" spans="1:15" ht="15.75" x14ac:dyDescent="0.25">
      <c r="A54" s="98" t="s">
        <v>64</v>
      </c>
    </row>
    <row r="55" spans="1:15" x14ac:dyDescent="0.25">
      <c r="A55" s="101" t="s">
        <v>34</v>
      </c>
      <c r="B55" s="96" t="s">
        <v>43</v>
      </c>
      <c r="C55" s="96" t="s">
        <v>44</v>
      </c>
      <c r="D55" s="96" t="s">
        <v>45</v>
      </c>
      <c r="E55" s="96" t="s">
        <v>46</v>
      </c>
      <c r="F55" s="96" t="s">
        <v>47</v>
      </c>
      <c r="G55" s="96" t="s">
        <v>48</v>
      </c>
      <c r="H55" s="96" t="s">
        <v>49</v>
      </c>
      <c r="I55" s="96" t="s">
        <v>50</v>
      </c>
      <c r="J55" s="96" t="s">
        <v>27</v>
      </c>
      <c r="K55" s="96" t="s">
        <v>51</v>
      </c>
      <c r="L55" s="96" t="s">
        <v>52</v>
      </c>
      <c r="M55" s="96" t="s">
        <v>53</v>
      </c>
      <c r="N55" s="97" t="s">
        <v>54</v>
      </c>
    </row>
    <row r="56" spans="1:15" hidden="1" x14ac:dyDescent="0.25">
      <c r="A56" s="191" t="s">
        <v>66</v>
      </c>
      <c r="B56" s="192">
        <f>SUM(N56)</f>
        <v>87839</v>
      </c>
      <c r="C56" s="192">
        <f t="shared" ref="C56:M56" si="33">SUM(B56)</f>
        <v>87839</v>
      </c>
      <c r="D56" s="192">
        <f t="shared" si="33"/>
        <v>87839</v>
      </c>
      <c r="E56" s="192">
        <f t="shared" si="33"/>
        <v>87839</v>
      </c>
      <c r="F56" s="192">
        <f t="shared" si="33"/>
        <v>87839</v>
      </c>
      <c r="G56" s="192">
        <f t="shared" si="33"/>
        <v>87839</v>
      </c>
      <c r="H56" s="192">
        <f t="shared" si="33"/>
        <v>87839</v>
      </c>
      <c r="I56" s="192">
        <f t="shared" si="33"/>
        <v>87839</v>
      </c>
      <c r="J56" s="192">
        <f t="shared" si="33"/>
        <v>87839</v>
      </c>
      <c r="K56" s="192">
        <f t="shared" si="33"/>
        <v>87839</v>
      </c>
      <c r="L56" s="192">
        <f t="shared" si="33"/>
        <v>87839</v>
      </c>
      <c r="M56" s="192">
        <f t="shared" si="33"/>
        <v>87839</v>
      </c>
      <c r="N56" s="192">
        <f>SUM(N27)</f>
        <v>87839</v>
      </c>
    </row>
    <row r="57" spans="1:15" x14ac:dyDescent="0.25">
      <c r="A57" s="3" t="s">
        <v>67</v>
      </c>
      <c r="B57" s="1">
        <f t="shared" ref="B57:M57" si="34">SUM(B27)</f>
        <v>5438</v>
      </c>
      <c r="C57" s="1">
        <f t="shared" si="34"/>
        <v>7010</v>
      </c>
      <c r="D57" s="1">
        <f t="shared" si="34"/>
        <v>7284</v>
      </c>
      <c r="E57" s="1">
        <f t="shared" si="34"/>
        <v>8234</v>
      </c>
      <c r="F57" s="1">
        <f t="shared" si="34"/>
        <v>7628</v>
      </c>
      <c r="G57" s="1">
        <f t="shared" si="34"/>
        <v>7211</v>
      </c>
      <c r="H57" s="1">
        <f t="shared" si="34"/>
        <v>7731</v>
      </c>
      <c r="I57" s="1">
        <f t="shared" si="34"/>
        <v>6673</v>
      </c>
      <c r="J57" s="1">
        <f t="shared" si="34"/>
        <v>7524</v>
      </c>
      <c r="K57" s="1">
        <f t="shared" si="34"/>
        <v>7044</v>
      </c>
      <c r="L57" s="1">
        <f t="shared" si="34"/>
        <v>8126</v>
      </c>
      <c r="M57" s="1">
        <f t="shared" si="34"/>
        <v>7936</v>
      </c>
      <c r="N57" s="1">
        <f>SUM(B57:M57)</f>
        <v>87839</v>
      </c>
    </row>
    <row r="58" spans="1:15" x14ac:dyDescent="0.25">
      <c r="A58" s="3" t="s">
        <v>65</v>
      </c>
      <c r="B58" s="99">
        <f>SUM(B57/B56)</f>
        <v>6.1908719361559214E-2</v>
      </c>
      <c r="C58" s="99">
        <f t="shared" ref="C58" si="35">SUM(C57/C56)</f>
        <v>7.9805097963319249E-2</v>
      </c>
      <c r="D58" s="99">
        <f t="shared" ref="D58" si="36">SUM(D57/D56)</f>
        <v>8.2924441307391933E-2</v>
      </c>
      <c r="E58" s="99">
        <f t="shared" ref="E58" si="37">SUM(E57/E56)</f>
        <v>9.3739682828811802E-2</v>
      </c>
      <c r="F58" s="99">
        <f t="shared" ref="F58" si="38">SUM(F57/F56)</f>
        <v>8.6840697184621868E-2</v>
      </c>
      <c r="G58" s="99">
        <f t="shared" ref="G58" si="39">SUM(G57/G56)</f>
        <v>8.2093375379956507E-2</v>
      </c>
      <c r="H58" s="99">
        <f t="shared" ref="H58" si="40">SUM(H57/H56)</f>
        <v>8.8013297054838971E-2</v>
      </c>
      <c r="I58" s="99">
        <f t="shared" ref="I58" si="41">SUM(I57/I56)</f>
        <v>7.596853333940505E-2</v>
      </c>
      <c r="J58" s="99">
        <f t="shared" ref="J58" si="42">SUM(J57/J56)</f>
        <v>8.5656712849645378E-2</v>
      </c>
      <c r="K58" s="99">
        <f t="shared" ref="K58" si="43">SUM(K57/K56)</f>
        <v>8.0192169765138488E-2</v>
      </c>
      <c r="L58" s="99">
        <f t="shared" ref="L58" si="44">SUM(L57/L56)</f>
        <v>9.251016063479775E-2</v>
      </c>
      <c r="M58" s="99">
        <f t="shared" ref="M58" si="45">SUM(M57/M56)</f>
        <v>9.0347112330513776E-2</v>
      </c>
      <c r="N58" s="99">
        <f>SUM(B58:M58)</f>
        <v>1</v>
      </c>
      <c r="O58" s="101" t="s">
        <v>56</v>
      </c>
    </row>
    <row r="59" spans="1:15" x14ac:dyDescent="0.25">
      <c r="A59" s="109" t="s">
        <v>69</v>
      </c>
      <c r="B59" s="102">
        <f t="shared" ref="B59:N59" si="46">SUM(B57-B64)/B64</f>
        <v>0.27952941176470586</v>
      </c>
      <c r="C59" s="102">
        <f t="shared" si="46"/>
        <v>0.669047619047619</v>
      </c>
      <c r="D59" s="102">
        <f t="shared" si="46"/>
        <v>0.85485103132161955</v>
      </c>
      <c r="E59" s="102">
        <f t="shared" si="46"/>
        <v>0.8140559594624367</v>
      </c>
      <c r="F59" s="102">
        <f t="shared" si="46"/>
        <v>0.7893502228477598</v>
      </c>
      <c r="G59" s="102">
        <f t="shared" si="46"/>
        <v>0.53883909517712336</v>
      </c>
      <c r="H59" s="102">
        <f t="shared" si="46"/>
        <v>0.91077607513593672</v>
      </c>
      <c r="I59" s="102">
        <f t="shared" si="46"/>
        <v>0.63513844645920114</v>
      </c>
      <c r="J59" s="102">
        <f t="shared" si="46"/>
        <v>0.46267496111975115</v>
      </c>
      <c r="K59" s="102">
        <f t="shared" si="46"/>
        <v>0.39845145920190589</v>
      </c>
      <c r="L59" s="102">
        <f t="shared" si="46"/>
        <v>0.52715654952076674</v>
      </c>
      <c r="M59" s="102">
        <f t="shared" si="46"/>
        <v>0.30978709357979867</v>
      </c>
      <c r="N59" s="102">
        <f t="shared" si="46"/>
        <v>0.58117473403776576</v>
      </c>
      <c r="O59" s="110">
        <f>SUM(N57-N64)</f>
        <v>32286</v>
      </c>
    </row>
    <row r="61" spans="1:15" ht="15.75" x14ac:dyDescent="0.25">
      <c r="A61" s="98" t="s">
        <v>55</v>
      </c>
    </row>
    <row r="62" spans="1:15" x14ac:dyDescent="0.25">
      <c r="A62" s="101" t="s">
        <v>31</v>
      </c>
      <c r="B62" s="96" t="s">
        <v>43</v>
      </c>
      <c r="C62" s="96" t="s">
        <v>44</v>
      </c>
      <c r="D62" s="96" t="s">
        <v>45</v>
      </c>
      <c r="E62" s="96" t="s">
        <v>46</v>
      </c>
      <c r="F62" s="96" t="s">
        <v>47</v>
      </c>
      <c r="G62" s="96" t="s">
        <v>48</v>
      </c>
      <c r="H62" s="96" t="s">
        <v>49</v>
      </c>
      <c r="I62" s="96" t="s">
        <v>50</v>
      </c>
      <c r="J62" s="96" t="s">
        <v>27</v>
      </c>
      <c r="K62" s="96" t="s">
        <v>51</v>
      </c>
      <c r="L62" s="96" t="s">
        <v>52</v>
      </c>
      <c r="M62" s="96" t="s">
        <v>53</v>
      </c>
      <c r="N62" s="97" t="s">
        <v>54</v>
      </c>
    </row>
    <row r="63" spans="1:15" hidden="1" x14ac:dyDescent="0.25">
      <c r="A63" s="191" t="s">
        <v>66</v>
      </c>
      <c r="B63" s="192">
        <f>SUM(N63)</f>
        <v>55553</v>
      </c>
      <c r="C63" s="192">
        <f t="shared" ref="C63:M63" si="47">SUM(B63)</f>
        <v>55553</v>
      </c>
      <c r="D63" s="192">
        <f t="shared" si="47"/>
        <v>55553</v>
      </c>
      <c r="E63" s="192">
        <f t="shared" si="47"/>
        <v>55553</v>
      </c>
      <c r="F63" s="192">
        <f t="shared" si="47"/>
        <v>55553</v>
      </c>
      <c r="G63" s="192">
        <f t="shared" si="47"/>
        <v>55553</v>
      </c>
      <c r="H63" s="192">
        <f t="shared" si="47"/>
        <v>55553</v>
      </c>
      <c r="I63" s="192">
        <f t="shared" si="47"/>
        <v>55553</v>
      </c>
      <c r="J63" s="192">
        <f t="shared" si="47"/>
        <v>55553</v>
      </c>
      <c r="K63" s="192">
        <f t="shared" si="47"/>
        <v>55553</v>
      </c>
      <c r="L63" s="192">
        <f t="shared" si="47"/>
        <v>55553</v>
      </c>
      <c r="M63" s="192">
        <f t="shared" si="47"/>
        <v>55553</v>
      </c>
      <c r="N63" s="192">
        <f>SUM(N28)</f>
        <v>55553</v>
      </c>
    </row>
    <row r="64" spans="1:15" x14ac:dyDescent="0.25">
      <c r="A64" s="3" t="s">
        <v>67</v>
      </c>
      <c r="B64" s="1">
        <f t="shared" ref="B64:M64" si="48">SUM(B28)</f>
        <v>4250</v>
      </c>
      <c r="C64" s="1">
        <f t="shared" si="48"/>
        <v>4200</v>
      </c>
      <c r="D64" s="1">
        <f t="shared" si="48"/>
        <v>3927</v>
      </c>
      <c r="E64" s="1">
        <f t="shared" si="48"/>
        <v>4539</v>
      </c>
      <c r="F64" s="1">
        <f t="shared" si="48"/>
        <v>4263</v>
      </c>
      <c r="G64" s="1">
        <f t="shared" si="48"/>
        <v>4686</v>
      </c>
      <c r="H64" s="1">
        <f t="shared" si="48"/>
        <v>4046</v>
      </c>
      <c r="I64" s="1">
        <f t="shared" si="48"/>
        <v>4081</v>
      </c>
      <c r="J64" s="1">
        <f t="shared" si="48"/>
        <v>5144</v>
      </c>
      <c r="K64" s="1">
        <f t="shared" si="48"/>
        <v>5037</v>
      </c>
      <c r="L64" s="1">
        <f t="shared" si="48"/>
        <v>5321</v>
      </c>
      <c r="M64" s="1">
        <f t="shared" si="48"/>
        <v>6059</v>
      </c>
      <c r="N64" s="1">
        <f>SUM(B64:M64)</f>
        <v>55553</v>
      </c>
    </row>
    <row r="65" spans="1:15" x14ac:dyDescent="0.25">
      <c r="A65" s="3" t="s">
        <v>65</v>
      </c>
      <c r="B65" s="99">
        <f>SUM(B64/B63)</f>
        <v>7.6503519161881445E-2</v>
      </c>
      <c r="C65" s="99">
        <f t="shared" ref="C65" si="49">SUM(C64/C63)</f>
        <v>7.5603477759976959E-2</v>
      </c>
      <c r="D65" s="99">
        <f t="shared" ref="D65" si="50">SUM(D64/D63)</f>
        <v>7.0689251705578451E-2</v>
      </c>
      <c r="E65" s="99">
        <f t="shared" ref="E65" si="51">SUM(E64/E63)</f>
        <v>8.170575846488938E-2</v>
      </c>
      <c r="F65" s="99">
        <f t="shared" ref="F65" si="52">SUM(F64/F63)</f>
        <v>7.6737529926376613E-2</v>
      </c>
      <c r="G65" s="99">
        <f t="shared" ref="G65" si="53">SUM(G64/G63)</f>
        <v>8.4351880186488579E-2</v>
      </c>
      <c r="H65" s="99">
        <f t="shared" ref="H65" si="54">SUM(H64/H63)</f>
        <v>7.283135024211114E-2</v>
      </c>
      <c r="I65" s="99">
        <f t="shared" ref="I65" si="55">SUM(I64/I63)</f>
        <v>7.3461379223444284E-2</v>
      </c>
      <c r="J65" s="99">
        <f t="shared" ref="J65" si="56">SUM(J64/J63)</f>
        <v>9.2596259427933689E-2</v>
      </c>
      <c r="K65" s="99">
        <f t="shared" ref="K65" si="57">SUM(K64/K63)</f>
        <v>9.0670170827858082E-2</v>
      </c>
      <c r="L65" s="99">
        <f t="shared" ref="L65" si="58">SUM(L64/L63)</f>
        <v>9.578240599067557E-2</v>
      </c>
      <c r="M65" s="99">
        <f t="shared" ref="M65" si="59">SUM(M64/M63)</f>
        <v>0.10906701708278581</v>
      </c>
      <c r="N65" s="99">
        <f>SUM(B65:M65)</f>
        <v>1</v>
      </c>
      <c r="O65" s="101" t="s">
        <v>56</v>
      </c>
    </row>
    <row r="66" spans="1:15" x14ac:dyDescent="0.25">
      <c r="A66" s="109" t="s">
        <v>69</v>
      </c>
      <c r="B66" s="102">
        <f t="shared" ref="B66:N66" si="60">SUM(B64-B71)/B71</f>
        <v>-2.8127143837182712E-2</v>
      </c>
      <c r="C66" s="102">
        <f t="shared" si="60"/>
        <v>8.1613058089294293E-3</v>
      </c>
      <c r="D66" s="102">
        <f t="shared" si="60"/>
        <v>-0.11194029850746269</v>
      </c>
      <c r="E66" s="102">
        <f t="shared" si="60"/>
        <v>-7.4051407588739293E-2</v>
      </c>
      <c r="F66" s="102">
        <f t="shared" si="60"/>
        <v>5.3372868791697552E-2</v>
      </c>
      <c r="G66" s="102">
        <f t="shared" si="60"/>
        <v>-6.2237342405443263E-2</v>
      </c>
      <c r="H66" s="102">
        <f t="shared" si="60"/>
        <v>0.20992822966507177</v>
      </c>
      <c r="I66" s="102">
        <f t="shared" si="60"/>
        <v>0.24954072259644824</v>
      </c>
      <c r="J66" s="102">
        <f t="shared" si="60"/>
        <v>0.25402242808386155</v>
      </c>
      <c r="K66" s="102">
        <f t="shared" si="60"/>
        <v>0.27325581395348836</v>
      </c>
      <c r="L66" s="102">
        <f t="shared" si="60"/>
        <v>0.51898372823294314</v>
      </c>
      <c r="M66" s="102">
        <f t="shared" si="60"/>
        <v>0.44986838956688202</v>
      </c>
      <c r="N66" s="102">
        <f t="shared" si="60"/>
        <v>0.1278193962279473</v>
      </c>
      <c r="O66" s="110">
        <f>SUM(N64-N71)</f>
        <v>6296</v>
      </c>
    </row>
    <row r="68" spans="1:15" x14ac:dyDescent="0.25">
      <c r="A68" s="108" t="s">
        <v>68</v>
      </c>
    </row>
    <row r="69" spans="1:15" x14ac:dyDescent="0.25">
      <c r="A69" s="101" t="s">
        <v>14</v>
      </c>
      <c r="B69" s="96" t="s">
        <v>43</v>
      </c>
      <c r="C69" s="96" t="s">
        <v>44</v>
      </c>
      <c r="D69" s="96" t="s">
        <v>45</v>
      </c>
      <c r="E69" s="96" t="s">
        <v>46</v>
      </c>
      <c r="F69" s="96" t="s">
        <v>47</v>
      </c>
      <c r="G69" s="96" t="s">
        <v>48</v>
      </c>
      <c r="H69" s="96" t="s">
        <v>49</v>
      </c>
      <c r="I69" s="96" t="s">
        <v>50</v>
      </c>
      <c r="J69" s="96" t="s">
        <v>27</v>
      </c>
      <c r="K69" s="96" t="s">
        <v>51</v>
      </c>
      <c r="L69" s="96" t="s">
        <v>52</v>
      </c>
      <c r="M69" s="96" t="s">
        <v>53</v>
      </c>
      <c r="N69" s="97" t="s">
        <v>54</v>
      </c>
    </row>
    <row r="70" spans="1:15" hidden="1" x14ac:dyDescent="0.25">
      <c r="A70" s="191" t="s">
        <v>66</v>
      </c>
      <c r="B70" s="192">
        <f>SUM(N70)</f>
        <v>49257</v>
      </c>
      <c r="C70" s="192">
        <f t="shared" ref="C70:M70" si="61">SUM(B70)</f>
        <v>49257</v>
      </c>
      <c r="D70" s="192">
        <f t="shared" si="61"/>
        <v>49257</v>
      </c>
      <c r="E70" s="192">
        <f t="shared" si="61"/>
        <v>49257</v>
      </c>
      <c r="F70" s="192">
        <f t="shared" si="61"/>
        <v>49257</v>
      </c>
      <c r="G70" s="192">
        <f t="shared" si="61"/>
        <v>49257</v>
      </c>
      <c r="H70" s="192">
        <f t="shared" si="61"/>
        <v>49257</v>
      </c>
      <c r="I70" s="192">
        <f t="shared" si="61"/>
        <v>49257</v>
      </c>
      <c r="J70" s="192">
        <f t="shared" si="61"/>
        <v>49257</v>
      </c>
      <c r="K70" s="192">
        <f t="shared" si="61"/>
        <v>49257</v>
      </c>
      <c r="L70" s="192">
        <f t="shared" si="61"/>
        <v>49257</v>
      </c>
      <c r="M70" s="192">
        <f t="shared" si="61"/>
        <v>49257</v>
      </c>
      <c r="N70" s="192">
        <f>SUM(N29)</f>
        <v>49257</v>
      </c>
    </row>
    <row r="71" spans="1:15" x14ac:dyDescent="0.25">
      <c r="A71" s="3" t="s">
        <v>67</v>
      </c>
      <c r="B71" s="1">
        <f t="shared" ref="B71:M71" si="62">SUM(B29)</f>
        <v>4373</v>
      </c>
      <c r="C71" s="1">
        <f t="shared" si="62"/>
        <v>4166</v>
      </c>
      <c r="D71" s="1">
        <f t="shared" si="62"/>
        <v>4422</v>
      </c>
      <c r="E71" s="1">
        <f t="shared" si="62"/>
        <v>4902</v>
      </c>
      <c r="F71" s="1">
        <f t="shared" si="62"/>
        <v>4047</v>
      </c>
      <c r="G71" s="1">
        <f t="shared" si="62"/>
        <v>4997</v>
      </c>
      <c r="H71" s="1">
        <f t="shared" si="62"/>
        <v>3344</v>
      </c>
      <c r="I71" s="1">
        <f t="shared" si="62"/>
        <v>3266</v>
      </c>
      <c r="J71" s="1">
        <f t="shared" si="62"/>
        <v>4102</v>
      </c>
      <c r="K71" s="1">
        <f t="shared" si="62"/>
        <v>3956</v>
      </c>
      <c r="L71" s="1">
        <f t="shared" si="62"/>
        <v>3503</v>
      </c>
      <c r="M71" s="1">
        <f t="shared" si="62"/>
        <v>4179</v>
      </c>
      <c r="N71" s="1">
        <f>SUM(B71:M71)</f>
        <v>49257</v>
      </c>
    </row>
    <row r="72" spans="1:15" x14ac:dyDescent="0.25">
      <c r="A72" s="3" t="s">
        <v>65</v>
      </c>
      <c r="B72" s="99">
        <f>SUM(B71/B70)</f>
        <v>8.8779259800637472E-2</v>
      </c>
      <c r="C72" s="99">
        <f t="shared" ref="C72" si="63">SUM(C71/C70)</f>
        <v>8.4576811417666528E-2</v>
      </c>
      <c r="D72" s="99">
        <f t="shared" ref="D72" si="64">SUM(D71/D70)</f>
        <v>8.9774042268104023E-2</v>
      </c>
      <c r="E72" s="99">
        <f t="shared" ref="E72" si="65">SUM(E71/E70)</f>
        <v>9.9518850112674334E-2</v>
      </c>
      <c r="F72" s="99">
        <f t="shared" ref="F72" si="66">SUM(F71/F70)</f>
        <v>8.2160911139533471E-2</v>
      </c>
      <c r="G72" s="99">
        <f t="shared" ref="G72" si="67">SUM(G71/G70)</f>
        <v>0.10144750999857888</v>
      </c>
      <c r="H72" s="99">
        <f t="shared" ref="H72" si="68">SUM(H71/H70)</f>
        <v>6.7888827983839856E-2</v>
      </c>
      <c r="I72" s="99">
        <f t="shared" ref="I72" si="69">SUM(I71/I70)</f>
        <v>6.6305296709097183E-2</v>
      </c>
      <c r="J72" s="99">
        <f t="shared" ref="J72" si="70">SUM(J71/J70)</f>
        <v>8.3277503705057154E-2</v>
      </c>
      <c r="K72" s="99">
        <f t="shared" ref="K72" si="71">SUM(K71/K70)</f>
        <v>8.0313457985667011E-2</v>
      </c>
      <c r="L72" s="99">
        <f t="shared" ref="L72" si="72">SUM(L71/L70)</f>
        <v>7.1116795582353773E-2</v>
      </c>
      <c r="M72" s="99">
        <f t="shared" ref="M72" si="73">SUM(M71/M70)</f>
        <v>8.4840733296790302E-2</v>
      </c>
      <c r="N72" s="99">
        <f>SUM(B72:M72)</f>
        <v>1</v>
      </c>
    </row>
    <row r="74" spans="1:15" hidden="1" x14ac:dyDescent="0.25">
      <c r="B74" s="96" t="s">
        <v>43</v>
      </c>
      <c r="C74" s="96" t="s">
        <v>44</v>
      </c>
      <c r="D74" s="96" t="s">
        <v>45</v>
      </c>
      <c r="E74" s="96" t="s">
        <v>46</v>
      </c>
      <c r="F74" s="96" t="s">
        <v>47</v>
      </c>
      <c r="G74" s="96" t="s">
        <v>48</v>
      </c>
      <c r="H74" s="96" t="s">
        <v>49</v>
      </c>
      <c r="I74" s="96" t="s">
        <v>50</v>
      </c>
      <c r="J74" s="96" t="s">
        <v>27</v>
      </c>
      <c r="K74" s="96" t="s">
        <v>51</v>
      </c>
      <c r="L74" s="96" t="s">
        <v>52</v>
      </c>
      <c r="M74" s="96" t="s">
        <v>53</v>
      </c>
      <c r="N74" s="97" t="s">
        <v>54</v>
      </c>
    </row>
    <row r="75" spans="1:15" ht="15.75" hidden="1" x14ac:dyDescent="0.25">
      <c r="A75" s="49" t="s">
        <v>61</v>
      </c>
      <c r="B75" s="1">
        <f>SUM(B26)</f>
        <v>6963</v>
      </c>
      <c r="C75" s="1">
        <f t="shared" ref="C75:M75" si="74">SUM(C26)</f>
        <v>7939</v>
      </c>
      <c r="D75" s="1">
        <f t="shared" si="74"/>
        <v>8040</v>
      </c>
      <c r="E75" s="1">
        <f t="shared" si="74"/>
        <v>9122</v>
      </c>
      <c r="F75" s="1">
        <f t="shared" si="74"/>
        <v>7981</v>
      </c>
      <c r="G75" s="1">
        <f t="shared" si="74"/>
        <v>8357</v>
      </c>
      <c r="H75" s="1">
        <f t="shared" si="74"/>
        <v>9381</v>
      </c>
      <c r="I75" s="1">
        <f t="shared" si="74"/>
        <v>9433</v>
      </c>
      <c r="J75" s="1">
        <f t="shared" si="74"/>
        <v>8988</v>
      </c>
      <c r="K75" s="1">
        <f t="shared" si="74"/>
        <v>9855</v>
      </c>
      <c r="L75" s="1">
        <f t="shared" si="74"/>
        <v>9484</v>
      </c>
      <c r="M75" s="1">
        <f t="shared" si="74"/>
        <v>8157</v>
      </c>
      <c r="N75" s="90">
        <f>SUM(B75:M75)</f>
        <v>103700</v>
      </c>
    </row>
    <row r="76" spans="1:15" ht="15.75" hidden="1" x14ac:dyDescent="0.25">
      <c r="A76" s="49" t="s">
        <v>34</v>
      </c>
      <c r="B76" s="1">
        <v>5438</v>
      </c>
      <c r="C76" s="1">
        <v>7010</v>
      </c>
      <c r="D76" s="1">
        <v>7284</v>
      </c>
      <c r="E76" s="1">
        <v>8234</v>
      </c>
      <c r="F76" s="1">
        <v>7628</v>
      </c>
      <c r="G76" s="1">
        <v>7211</v>
      </c>
      <c r="H76" s="1">
        <v>7731</v>
      </c>
      <c r="I76" s="1">
        <v>6673</v>
      </c>
      <c r="J76" s="1">
        <v>7524</v>
      </c>
      <c r="K76" s="193">
        <v>7044</v>
      </c>
      <c r="L76" s="1">
        <v>8126</v>
      </c>
      <c r="M76" s="1">
        <v>7936</v>
      </c>
      <c r="N76" s="90">
        <f>SUM(B76:M76)</f>
        <v>87839</v>
      </c>
    </row>
    <row r="77" spans="1:15" ht="15.75" hidden="1" x14ac:dyDescent="0.25">
      <c r="A77" s="49" t="s">
        <v>31</v>
      </c>
      <c r="B77" s="115">
        <v>4250</v>
      </c>
      <c r="C77" s="1">
        <v>4200</v>
      </c>
      <c r="D77" s="1">
        <v>3927</v>
      </c>
      <c r="E77" s="1">
        <v>4539</v>
      </c>
      <c r="F77" s="1">
        <v>4263</v>
      </c>
      <c r="G77" s="1">
        <v>4686</v>
      </c>
      <c r="H77" s="1">
        <v>4046</v>
      </c>
      <c r="I77" s="1">
        <v>4081</v>
      </c>
      <c r="J77" s="73">
        <v>5144</v>
      </c>
      <c r="K77" s="1">
        <v>5037</v>
      </c>
      <c r="L77" s="1">
        <v>5321</v>
      </c>
      <c r="M77" s="1">
        <v>6059</v>
      </c>
      <c r="N77" s="90">
        <f t="shared" ref="N77:N79" si="75">SUM(B77:M77)</f>
        <v>55553</v>
      </c>
    </row>
    <row r="78" spans="1:15" ht="15.75" hidden="1" x14ac:dyDescent="0.25">
      <c r="A78" s="49" t="s">
        <v>14</v>
      </c>
      <c r="B78" s="1">
        <v>4373</v>
      </c>
      <c r="C78" s="1">
        <v>4166</v>
      </c>
      <c r="D78" s="1">
        <v>4422</v>
      </c>
      <c r="E78" s="1">
        <v>4902</v>
      </c>
      <c r="F78" s="1">
        <v>4047</v>
      </c>
      <c r="G78" s="1">
        <v>4997</v>
      </c>
      <c r="H78" s="1">
        <v>3344</v>
      </c>
      <c r="I78" s="1">
        <v>3266</v>
      </c>
      <c r="J78" s="116">
        <v>4102</v>
      </c>
      <c r="K78" s="1">
        <v>3956</v>
      </c>
      <c r="L78" s="1">
        <v>3503</v>
      </c>
      <c r="M78" s="1">
        <v>4179</v>
      </c>
      <c r="N78" s="90">
        <f t="shared" si="75"/>
        <v>49257</v>
      </c>
    </row>
    <row r="79" spans="1:15" hidden="1" x14ac:dyDescent="0.25">
      <c r="B79" s="90">
        <f>SUM(B75:B78)</f>
        <v>21024</v>
      </c>
      <c r="C79" s="90">
        <f t="shared" ref="C79:M79" si="76">SUM(C75:C78)</f>
        <v>23315</v>
      </c>
      <c r="D79" s="90">
        <f t="shared" si="76"/>
        <v>23673</v>
      </c>
      <c r="E79" s="90">
        <f t="shared" si="76"/>
        <v>26797</v>
      </c>
      <c r="F79" s="90">
        <f t="shared" si="76"/>
        <v>23919</v>
      </c>
      <c r="G79" s="90">
        <f t="shared" si="76"/>
        <v>25251</v>
      </c>
      <c r="H79" s="90">
        <f t="shared" si="76"/>
        <v>24502</v>
      </c>
      <c r="I79" s="90">
        <f t="shared" si="76"/>
        <v>23453</v>
      </c>
      <c r="J79" s="90">
        <f t="shared" si="76"/>
        <v>25758</v>
      </c>
      <c r="K79" s="90">
        <f t="shared" si="76"/>
        <v>25892</v>
      </c>
      <c r="L79" s="90">
        <f t="shared" si="76"/>
        <v>26434</v>
      </c>
      <c r="M79" s="90">
        <f t="shared" si="76"/>
        <v>26331</v>
      </c>
      <c r="N79" s="90">
        <f t="shared" si="75"/>
        <v>296349</v>
      </c>
    </row>
    <row r="80" spans="1:15" hidden="1" x14ac:dyDescent="0.25">
      <c r="A80" s="188"/>
      <c r="B80" s="189">
        <f>SUM(N79)</f>
        <v>296349</v>
      </c>
      <c r="C80" s="189">
        <f>SUM(B80)</f>
        <v>296349</v>
      </c>
      <c r="D80" s="189">
        <f t="shared" ref="D80:M80" si="77">SUM(C80)</f>
        <v>296349</v>
      </c>
      <c r="E80" s="189">
        <f t="shared" si="77"/>
        <v>296349</v>
      </c>
      <c r="F80" s="189">
        <f t="shared" si="77"/>
        <v>296349</v>
      </c>
      <c r="G80" s="189">
        <f t="shared" si="77"/>
        <v>296349</v>
      </c>
      <c r="H80" s="189">
        <f t="shared" si="77"/>
        <v>296349</v>
      </c>
      <c r="I80" s="189">
        <f t="shared" si="77"/>
        <v>296349</v>
      </c>
      <c r="J80" s="189">
        <f t="shared" si="77"/>
        <v>296349</v>
      </c>
      <c r="K80" s="189">
        <f t="shared" si="77"/>
        <v>296349</v>
      </c>
      <c r="L80" s="189">
        <f t="shared" si="77"/>
        <v>296349</v>
      </c>
      <c r="M80" s="189">
        <f t="shared" si="77"/>
        <v>296349</v>
      </c>
      <c r="N80" s="188"/>
    </row>
    <row r="81" spans="1:14" hidden="1" x14ac:dyDescent="0.25">
      <c r="B81" s="190">
        <f>SUM(B79/B80)</f>
        <v>7.0943380946114215E-2</v>
      </c>
      <c r="C81" s="190">
        <f t="shared" ref="C81:M81" si="78">SUM(C79/C80)</f>
        <v>7.8674130838977022E-2</v>
      </c>
      <c r="D81" s="190">
        <f t="shared" si="78"/>
        <v>7.9882165959729912E-2</v>
      </c>
      <c r="E81" s="190">
        <f t="shared" si="78"/>
        <v>9.0423790868199322E-2</v>
      </c>
      <c r="F81" s="190">
        <f t="shared" si="78"/>
        <v>8.0712268305275198E-2</v>
      </c>
      <c r="G81" s="190">
        <f t="shared" si="78"/>
        <v>8.5206968810422848E-2</v>
      </c>
      <c r="H81" s="190">
        <f t="shared" si="78"/>
        <v>8.2679543376221951E-2</v>
      </c>
      <c r="I81" s="190">
        <f t="shared" si="78"/>
        <v>7.9139798008429255E-2</v>
      </c>
      <c r="J81" s="190">
        <f t="shared" si="78"/>
        <v>8.691778949819301E-2</v>
      </c>
      <c r="K81" s="190">
        <f t="shared" si="78"/>
        <v>8.7369959068530678E-2</v>
      </c>
      <c r="L81" s="190">
        <f t="shared" si="78"/>
        <v>8.9198883748553226E-2</v>
      </c>
      <c r="M81" s="190">
        <f t="shared" si="78"/>
        <v>8.8851320571353365E-2</v>
      </c>
      <c r="N81" s="190">
        <f>SUM(B81:M81)</f>
        <v>1</v>
      </c>
    </row>
    <row r="82" spans="1:14" hidden="1" x14ac:dyDescent="0.25"/>
    <row r="83" spans="1:14" ht="15.75" hidden="1" x14ac:dyDescent="0.25">
      <c r="A83" s="49" t="s">
        <v>61</v>
      </c>
      <c r="B83" s="1">
        <v>6963</v>
      </c>
      <c r="C83" s="1">
        <v>7939</v>
      </c>
      <c r="D83" s="1">
        <v>8040</v>
      </c>
      <c r="E83" s="1">
        <v>9122</v>
      </c>
      <c r="F83" s="1">
        <v>7981</v>
      </c>
      <c r="G83" s="1">
        <v>8357</v>
      </c>
      <c r="H83" s="1">
        <v>9381</v>
      </c>
      <c r="I83" s="1">
        <f>SUM(I50)</f>
        <v>9433</v>
      </c>
      <c r="J83" s="1">
        <f>SUM(J50)</f>
        <v>8988</v>
      </c>
      <c r="K83" s="1">
        <f>SUM(K50)</f>
        <v>9855</v>
      </c>
      <c r="L83" s="1">
        <f>SUM(L50)</f>
        <v>9484</v>
      </c>
      <c r="M83" s="1">
        <f>SUM(M50)</f>
        <v>8157</v>
      </c>
      <c r="N83" s="90">
        <f>SUM(B83:M83)</f>
        <v>103700</v>
      </c>
    </row>
    <row r="84" spans="1:14" hidden="1" x14ac:dyDescent="0.25">
      <c r="A84" s="188"/>
      <c r="B84" s="189">
        <f>SUM(N83)</f>
        <v>103700</v>
      </c>
      <c r="C84" s="189">
        <f>SUM(B84)</f>
        <v>103700</v>
      </c>
      <c r="D84" s="189">
        <f t="shared" ref="D84:M84" si="79">SUM(C84)</f>
        <v>103700</v>
      </c>
      <c r="E84" s="189">
        <f t="shared" si="79"/>
        <v>103700</v>
      </c>
      <c r="F84" s="189">
        <f t="shared" si="79"/>
        <v>103700</v>
      </c>
      <c r="G84" s="189">
        <f t="shared" si="79"/>
        <v>103700</v>
      </c>
      <c r="H84" s="189">
        <f t="shared" si="79"/>
        <v>103700</v>
      </c>
      <c r="I84" s="189">
        <f t="shared" si="79"/>
        <v>103700</v>
      </c>
      <c r="J84" s="189">
        <f t="shared" si="79"/>
        <v>103700</v>
      </c>
      <c r="K84" s="189">
        <f t="shared" si="79"/>
        <v>103700</v>
      </c>
      <c r="L84" s="189">
        <f t="shared" si="79"/>
        <v>103700</v>
      </c>
      <c r="M84" s="189">
        <f t="shared" si="79"/>
        <v>103700</v>
      </c>
      <c r="N84" s="188"/>
    </row>
    <row r="85" spans="1:14" hidden="1" x14ac:dyDescent="0.25">
      <c r="B85" s="190">
        <f>SUM(B83/B84)</f>
        <v>6.7145612343297981E-2</v>
      </c>
      <c r="C85" s="190">
        <f t="shared" ref="C85:M85" si="80">SUM(C83/C84)</f>
        <v>7.6557377049180322E-2</v>
      </c>
      <c r="D85" s="190">
        <f t="shared" si="80"/>
        <v>7.7531340405014471E-2</v>
      </c>
      <c r="E85" s="190">
        <f t="shared" si="80"/>
        <v>8.7965284474445515E-2</v>
      </c>
      <c r="F85" s="190">
        <f t="shared" si="80"/>
        <v>7.6962391513982639E-2</v>
      </c>
      <c r="G85" s="190">
        <f t="shared" si="80"/>
        <v>8.0588235294117641E-2</v>
      </c>
      <c r="H85" s="190">
        <f t="shared" si="80"/>
        <v>9.0462873674059793E-2</v>
      </c>
      <c r="I85" s="190">
        <f t="shared" si="80"/>
        <v>9.096432015429122E-2</v>
      </c>
      <c r="J85" s="190">
        <f t="shared" si="80"/>
        <v>8.6673095467695277E-2</v>
      </c>
      <c r="K85" s="190">
        <f t="shared" si="80"/>
        <v>9.5033751205400196E-2</v>
      </c>
      <c r="L85" s="190">
        <f t="shared" si="80"/>
        <v>9.145612343297975E-2</v>
      </c>
      <c r="M85" s="190">
        <f t="shared" si="80"/>
        <v>7.8659594985535194E-2</v>
      </c>
      <c r="N85" s="190">
        <f>SUM(B85:M85)</f>
        <v>1</v>
      </c>
    </row>
  </sheetData>
  <sheetProtection algorithmName="SHA-512" hashValue="w+/zcAab2Eoq9fipKNhRKJ5lZYIe+wZOdJBcStKndy8LxwcJInWukf6zpj/OgCcvlCN9C4upE72xQmMxjkgoMw==" saltValue="FNpubPoFPvhnX1H7FUgT0A==" spinCount="100000" sheet="1" objects="1" scenarios="1"/>
  <mergeCells count="2">
    <mergeCell ref="B1:O1"/>
    <mergeCell ref="B2:O2"/>
  </mergeCells>
  <pageMargins left="0.7" right="0.7" top="0.75" bottom="0.75" header="0.3" footer="0.3"/>
  <pageSetup scale="61" fitToHeight="0" orientation="landscape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4A82D-6E7D-4BA3-A8B6-679AF0516BA6}">
  <sheetPr>
    <tabColor theme="5" tint="-0.249977111117893"/>
    <pageSetUpPr fitToPage="1"/>
  </sheetPr>
  <dimension ref="A1:T50"/>
  <sheetViews>
    <sheetView workbookViewId="0">
      <selection sqref="A1:P1"/>
    </sheetView>
  </sheetViews>
  <sheetFormatPr defaultRowHeight="15" x14ac:dyDescent="0.25"/>
  <cols>
    <col min="1" max="1" width="20.7109375" customWidth="1"/>
    <col min="2" max="14" width="10.7109375" customWidth="1"/>
    <col min="15" max="15" width="15.7109375" customWidth="1"/>
    <col min="16" max="16" width="9.7109375" customWidth="1"/>
    <col min="19" max="19" width="9.140625" customWidth="1"/>
    <col min="20" max="20" width="15.7109375" customWidth="1"/>
  </cols>
  <sheetData>
    <row r="1" spans="1:16" ht="21" customHeight="1" x14ac:dyDescent="0.35">
      <c r="A1" s="215" t="s">
        <v>183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</row>
    <row r="2" spans="1:16" ht="21" customHeight="1" x14ac:dyDescent="0.35">
      <c r="A2" s="215" t="s">
        <v>21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</row>
    <row r="3" spans="1:16" ht="21" x14ac:dyDescent="0.35">
      <c r="H3" s="4"/>
    </row>
    <row r="10" spans="1:16" ht="20.100000000000001" customHeight="1" x14ac:dyDescent="0.25"/>
    <row r="11" spans="1:16" ht="20.100000000000001" customHeight="1" x14ac:dyDescent="0.25"/>
    <row r="12" spans="1:16" ht="20.100000000000001" customHeight="1" x14ac:dyDescent="0.25"/>
    <row r="13" spans="1:16" ht="20.100000000000001" customHeight="1" x14ac:dyDescent="0.25"/>
    <row r="25" spans="1:20" x14ac:dyDescent="0.25">
      <c r="B25" s="211" t="s">
        <v>9</v>
      </c>
      <c r="C25" s="213" t="s">
        <v>8</v>
      </c>
      <c r="D25" s="213"/>
      <c r="E25" s="213"/>
      <c r="F25" s="213" t="s">
        <v>26</v>
      </c>
      <c r="G25" s="213"/>
      <c r="H25" s="213"/>
      <c r="I25" s="213" t="s">
        <v>10</v>
      </c>
      <c r="J25" s="213"/>
      <c r="K25" s="213"/>
      <c r="L25" s="213" t="s">
        <v>9</v>
      </c>
      <c r="M25" s="213"/>
      <c r="N25" s="214"/>
      <c r="O25" s="119" t="s">
        <v>187</v>
      </c>
    </row>
    <row r="26" spans="1:20" s="5" customFormat="1" ht="15.75" x14ac:dyDescent="0.25">
      <c r="A26" s="20" t="s">
        <v>11</v>
      </c>
      <c r="B26" s="33" t="s">
        <v>70</v>
      </c>
      <c r="C26" s="33" t="s">
        <v>81</v>
      </c>
      <c r="D26" s="33" t="s">
        <v>82</v>
      </c>
      <c r="E26" s="33" t="s">
        <v>104</v>
      </c>
      <c r="F26" s="33" t="s">
        <v>117</v>
      </c>
      <c r="G26" s="33" t="s">
        <v>124</v>
      </c>
      <c r="H26" s="33" t="s">
        <v>156</v>
      </c>
      <c r="I26" s="33" t="s">
        <v>161</v>
      </c>
      <c r="J26" s="33" t="s">
        <v>162</v>
      </c>
      <c r="K26" s="33" t="s">
        <v>166</v>
      </c>
      <c r="L26" s="33" t="s">
        <v>176</v>
      </c>
      <c r="M26" s="33" t="s">
        <v>182</v>
      </c>
      <c r="N26" s="55" t="s">
        <v>186</v>
      </c>
      <c r="O26" s="57" t="s">
        <v>77</v>
      </c>
      <c r="P26" s="63" t="s">
        <v>7</v>
      </c>
    </row>
    <row r="27" spans="1:20" ht="20.100000000000001" customHeight="1" x14ac:dyDescent="0.25">
      <c r="A27" s="68" t="s">
        <v>16</v>
      </c>
      <c r="B27" s="37">
        <f>SUM(B39)</f>
        <v>1305</v>
      </c>
      <c r="C27" s="37">
        <f t="shared" ref="C27:M27" si="0">SUM(C39)</f>
        <v>1425</v>
      </c>
      <c r="D27" s="37">
        <f t="shared" si="0"/>
        <v>1378</v>
      </c>
      <c r="E27" s="37">
        <f t="shared" si="0"/>
        <v>1263</v>
      </c>
      <c r="F27" s="37">
        <f t="shared" si="0"/>
        <v>1483</v>
      </c>
      <c r="G27" s="37">
        <f t="shared" si="0"/>
        <v>1512</v>
      </c>
      <c r="H27" s="37">
        <f t="shared" si="0"/>
        <v>1497</v>
      </c>
      <c r="I27" s="37">
        <f t="shared" si="0"/>
        <v>1508</v>
      </c>
      <c r="J27" s="37">
        <f t="shared" si="0"/>
        <v>1264</v>
      </c>
      <c r="K27" s="37">
        <f t="shared" si="0"/>
        <v>812</v>
      </c>
      <c r="L27" s="37">
        <f t="shared" si="0"/>
        <v>823</v>
      </c>
      <c r="M27" s="37">
        <f t="shared" si="0"/>
        <v>782</v>
      </c>
      <c r="N27" s="56">
        <f>SUM(N39)</f>
        <v>650</v>
      </c>
      <c r="O27" s="58">
        <f t="shared" ref="O27:O32" si="1">SUM(C27:N27)</f>
        <v>14397</v>
      </c>
      <c r="P27" s="64">
        <f>SUM(O27/O32)</f>
        <v>0.58327593890531948</v>
      </c>
      <c r="Q27" s="90"/>
      <c r="S27" s="90"/>
      <c r="T27" s="91"/>
    </row>
    <row r="28" spans="1:20" ht="20.100000000000001" customHeight="1" x14ac:dyDescent="0.25">
      <c r="A28" s="69" t="s">
        <v>19</v>
      </c>
      <c r="B28" s="37">
        <f>SUM(B40+B48)</f>
        <v>515</v>
      </c>
      <c r="C28" s="37">
        <f t="shared" ref="C28:M28" si="2">SUM(C40+C48)</f>
        <v>505</v>
      </c>
      <c r="D28" s="37">
        <f t="shared" si="2"/>
        <v>535</v>
      </c>
      <c r="E28" s="37">
        <f t="shared" si="2"/>
        <v>530</v>
      </c>
      <c r="F28" s="37">
        <f t="shared" si="2"/>
        <v>528</v>
      </c>
      <c r="G28" s="37">
        <f t="shared" si="2"/>
        <v>526</v>
      </c>
      <c r="H28" s="37">
        <f t="shared" si="2"/>
        <v>534</v>
      </c>
      <c r="I28" s="37">
        <f t="shared" si="2"/>
        <v>496</v>
      </c>
      <c r="J28" s="37">
        <f t="shared" si="2"/>
        <v>652</v>
      </c>
      <c r="K28" s="37">
        <f t="shared" si="2"/>
        <v>602</v>
      </c>
      <c r="L28" s="37">
        <f t="shared" si="2"/>
        <v>770</v>
      </c>
      <c r="M28" s="37">
        <f t="shared" si="2"/>
        <v>701</v>
      </c>
      <c r="N28" s="56">
        <f>SUM(N40+N48)</f>
        <v>652</v>
      </c>
      <c r="O28" s="58">
        <f t="shared" si="1"/>
        <v>7031</v>
      </c>
      <c r="P28" s="64">
        <f>SUM(O28/O32)</f>
        <v>0.28485192237572421</v>
      </c>
      <c r="Q28" s="90"/>
      <c r="S28" s="90"/>
      <c r="T28" s="91"/>
    </row>
    <row r="29" spans="1:20" ht="20.100000000000001" customHeight="1" x14ac:dyDescent="0.25">
      <c r="A29" s="47" t="s">
        <v>5</v>
      </c>
      <c r="B29" s="37">
        <v>247</v>
      </c>
      <c r="C29" s="37">
        <v>209</v>
      </c>
      <c r="D29" s="37">
        <v>246</v>
      </c>
      <c r="E29" s="37">
        <v>309</v>
      </c>
      <c r="F29" s="37">
        <v>348</v>
      </c>
      <c r="G29" s="37">
        <v>350</v>
      </c>
      <c r="H29" s="37">
        <v>351</v>
      </c>
      <c r="I29" s="37">
        <v>303</v>
      </c>
      <c r="J29" s="37">
        <v>304</v>
      </c>
      <c r="K29" s="37">
        <v>316</v>
      </c>
      <c r="L29" s="37">
        <v>330</v>
      </c>
      <c r="M29" s="37">
        <v>189</v>
      </c>
      <c r="N29" s="56">
        <v>0</v>
      </c>
      <c r="O29" s="58">
        <f t="shared" si="1"/>
        <v>3255</v>
      </c>
      <c r="P29" s="64">
        <f>SUM(O29/O32)</f>
        <v>0.13187213871895637</v>
      </c>
      <c r="Q29" s="90"/>
      <c r="S29" s="90"/>
      <c r="T29" s="91"/>
    </row>
    <row r="30" spans="1:20" ht="20.100000000000001" customHeight="1" x14ac:dyDescent="0.25">
      <c r="A30" s="47" t="s">
        <v>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58">
        <f t="shared" si="1"/>
        <v>0</v>
      </c>
      <c r="P30" s="64">
        <f>SUM(O30/O32)</f>
        <v>0</v>
      </c>
      <c r="Q30" s="90"/>
      <c r="S30" s="90"/>
      <c r="T30" s="91"/>
    </row>
    <row r="31" spans="1:20" ht="20.100000000000001" customHeight="1" thickBot="1" x14ac:dyDescent="0.3">
      <c r="A31" s="47" t="s">
        <v>32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58">
        <f t="shared" si="1"/>
        <v>0</v>
      </c>
      <c r="P31" s="64">
        <f>SUM(O31/O32)</f>
        <v>0</v>
      </c>
      <c r="S31" s="90"/>
      <c r="T31" s="91"/>
    </row>
    <row r="32" spans="1:20" ht="20.100000000000001" customHeight="1" x14ac:dyDescent="0.25">
      <c r="A32" s="19" t="s">
        <v>3</v>
      </c>
      <c r="B32" s="51">
        <f t="shared" ref="B32:M32" si="3">SUM(B27:B31)</f>
        <v>2067</v>
      </c>
      <c r="C32" s="51">
        <f t="shared" si="3"/>
        <v>2139</v>
      </c>
      <c r="D32" s="51">
        <f t="shared" si="3"/>
        <v>2159</v>
      </c>
      <c r="E32" s="51">
        <f t="shared" si="3"/>
        <v>2102</v>
      </c>
      <c r="F32" s="51">
        <f t="shared" si="3"/>
        <v>2359</v>
      </c>
      <c r="G32" s="51">
        <f t="shared" si="3"/>
        <v>2388</v>
      </c>
      <c r="H32" s="51">
        <f t="shared" si="3"/>
        <v>2382</v>
      </c>
      <c r="I32" s="51">
        <f t="shared" si="3"/>
        <v>2307</v>
      </c>
      <c r="J32" s="51">
        <f t="shared" si="3"/>
        <v>2220</v>
      </c>
      <c r="K32" s="51">
        <f t="shared" si="3"/>
        <v>1730</v>
      </c>
      <c r="L32" s="51">
        <f t="shared" si="3"/>
        <v>1923</v>
      </c>
      <c r="M32" s="51">
        <f t="shared" si="3"/>
        <v>1672</v>
      </c>
      <c r="N32" s="62">
        <f t="shared" ref="N32:P32" si="4">SUM(N27:N31)</f>
        <v>1302</v>
      </c>
      <c r="O32" s="60">
        <f t="shared" si="1"/>
        <v>24683</v>
      </c>
      <c r="P32" s="65">
        <f t="shared" si="4"/>
        <v>1</v>
      </c>
      <c r="Q32" s="90"/>
      <c r="S32" s="90"/>
      <c r="T32" s="91"/>
    </row>
    <row r="33" spans="1:20" ht="9.9499999999999993" customHeight="1" x14ac:dyDescent="0.25">
      <c r="A33" s="17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93"/>
      <c r="O33" s="58"/>
      <c r="P33" s="3"/>
    </row>
    <row r="34" spans="1:20" ht="30" customHeight="1" x14ac:dyDescent="0.25">
      <c r="A34" s="12" t="s">
        <v>17</v>
      </c>
      <c r="B34" s="34">
        <f>SUM(B43+B50)</f>
        <v>1582.8600000000001</v>
      </c>
      <c r="C34" s="34">
        <f>SUM(C43+C50)</f>
        <v>1504.1100000000001</v>
      </c>
      <c r="D34" s="34">
        <f t="shared" ref="D34:L34" si="5">SUM(D43+D50)</f>
        <v>1601.88</v>
      </c>
      <c r="E34" s="34">
        <f t="shared" si="5"/>
        <v>1474.1000000000001</v>
      </c>
      <c r="F34" s="34">
        <f t="shared" si="5"/>
        <v>1696.18</v>
      </c>
      <c r="G34" s="34">
        <f t="shared" si="5"/>
        <v>1610.5500000000002</v>
      </c>
      <c r="H34" s="34">
        <f t="shared" si="5"/>
        <v>1669.8700000000001</v>
      </c>
      <c r="I34" s="34">
        <f t="shared" si="5"/>
        <v>1654.97</v>
      </c>
      <c r="J34" s="34">
        <f t="shared" si="5"/>
        <v>1301.2</v>
      </c>
      <c r="K34" s="34">
        <f t="shared" si="5"/>
        <v>986.21999999999991</v>
      </c>
      <c r="L34" s="34">
        <f t="shared" si="5"/>
        <v>1107.5900000000001</v>
      </c>
      <c r="M34" s="34">
        <f t="shared" ref="M34:N34" si="6">SUM(M43+M50)</f>
        <v>1037.4399999999998</v>
      </c>
      <c r="N34" s="94">
        <f t="shared" si="6"/>
        <v>898.16000000000008</v>
      </c>
      <c r="O34" s="61">
        <f>SUM(C34:N34)</f>
        <v>16542.27</v>
      </c>
      <c r="P34" s="3"/>
      <c r="S34" s="92"/>
      <c r="T34" s="92"/>
    </row>
    <row r="35" spans="1:20" ht="30" customHeight="1" x14ac:dyDescent="0.25">
      <c r="A35" s="12" t="s">
        <v>18</v>
      </c>
      <c r="B35" s="37">
        <f>SUM(B44+B49)</f>
        <v>21095</v>
      </c>
      <c r="C35" s="37">
        <f>SUM(C44+C49)</f>
        <v>21247</v>
      </c>
      <c r="D35" s="37">
        <f t="shared" ref="D35:L35" si="7">SUM(D44+D49)</f>
        <v>22815</v>
      </c>
      <c r="E35" s="37">
        <f t="shared" si="7"/>
        <v>20373</v>
      </c>
      <c r="F35" s="37">
        <f t="shared" si="7"/>
        <v>23764</v>
      </c>
      <c r="G35" s="37">
        <f t="shared" si="7"/>
        <v>22892</v>
      </c>
      <c r="H35" s="37">
        <f t="shared" si="7"/>
        <v>24161</v>
      </c>
      <c r="I35" s="37">
        <f t="shared" si="7"/>
        <v>24805</v>
      </c>
      <c r="J35" s="37">
        <f t="shared" si="7"/>
        <v>18814</v>
      </c>
      <c r="K35" s="37">
        <f t="shared" si="7"/>
        <v>13508</v>
      </c>
      <c r="L35" s="37">
        <f t="shared" si="7"/>
        <v>16294</v>
      </c>
      <c r="M35" s="37">
        <f t="shared" ref="M35:N35" si="8">SUM(M44+M49)</f>
        <v>15789</v>
      </c>
      <c r="N35" s="56">
        <f t="shared" si="8"/>
        <v>12974</v>
      </c>
      <c r="O35" s="58">
        <f>SUM(C35:N35)</f>
        <v>237436</v>
      </c>
      <c r="P35" s="3"/>
      <c r="S35" s="91"/>
      <c r="T35" s="91"/>
    </row>
    <row r="36" spans="1:20" ht="30" customHeight="1" x14ac:dyDescent="0.25">
      <c r="A36" s="12" t="s">
        <v>13</v>
      </c>
      <c r="B36" s="34">
        <f t="shared" ref="B36:M36" si="9">SUM(B32/B34)</f>
        <v>1.3058640688374208</v>
      </c>
      <c r="C36" s="34">
        <f t="shared" si="9"/>
        <v>1.4221034365837604</v>
      </c>
      <c r="D36" s="34">
        <f t="shared" si="9"/>
        <v>1.3477913451694259</v>
      </c>
      <c r="E36" s="34">
        <f t="shared" si="9"/>
        <v>1.4259548198901022</v>
      </c>
      <c r="F36" s="34">
        <f t="shared" si="9"/>
        <v>1.3907722057800469</v>
      </c>
      <c r="G36" s="34">
        <f t="shared" si="9"/>
        <v>1.4827232932849026</v>
      </c>
      <c r="H36" s="34">
        <f t="shared" si="9"/>
        <v>1.4264583470569565</v>
      </c>
      <c r="I36" s="34">
        <f t="shared" si="9"/>
        <v>1.393982972501012</v>
      </c>
      <c r="J36" s="34">
        <f t="shared" si="9"/>
        <v>1.7061174300645556</v>
      </c>
      <c r="K36" s="34">
        <f t="shared" si="9"/>
        <v>1.7541724970087811</v>
      </c>
      <c r="L36" s="34">
        <f t="shared" si="9"/>
        <v>1.7362020242147362</v>
      </c>
      <c r="M36" s="34">
        <f t="shared" si="9"/>
        <v>1.6116594694632946</v>
      </c>
      <c r="N36" s="94">
        <f t="shared" ref="N36" si="10">SUM(N32/N34)</f>
        <v>1.4496303553932484</v>
      </c>
      <c r="O36" s="61">
        <f t="shared" ref="O36" si="11">SUM(O32/O34)</f>
        <v>1.4921168618333518</v>
      </c>
      <c r="P36" s="6"/>
      <c r="S36" s="92"/>
      <c r="T36" s="92"/>
    </row>
    <row r="38" spans="1:20" x14ac:dyDescent="0.25">
      <c r="A38" s="130" t="s">
        <v>101</v>
      </c>
    </row>
    <row r="39" spans="1:20" hidden="1" x14ac:dyDescent="0.25">
      <c r="A39" s="68" t="s">
        <v>16</v>
      </c>
      <c r="B39" s="37">
        <v>1305</v>
      </c>
      <c r="C39" s="37">
        <v>1425</v>
      </c>
      <c r="D39" s="37">
        <v>1378</v>
      </c>
      <c r="E39" s="37">
        <v>1263</v>
      </c>
      <c r="F39" s="37">
        <v>1483</v>
      </c>
      <c r="G39" s="37">
        <v>1512</v>
      </c>
      <c r="H39" s="37">
        <v>1497</v>
      </c>
      <c r="I39" s="37">
        <v>1508</v>
      </c>
      <c r="J39" s="37">
        <v>1264</v>
      </c>
      <c r="K39" s="37">
        <v>812</v>
      </c>
      <c r="L39" s="37">
        <v>823</v>
      </c>
      <c r="M39" s="37">
        <v>782</v>
      </c>
      <c r="N39" s="56">
        <v>650</v>
      </c>
      <c r="O39" s="58">
        <f t="shared" ref="O39:O41" si="12">SUM(C39:N39)</f>
        <v>14397</v>
      </c>
      <c r="P39" s="90">
        <f>SUM(B39:M39)</f>
        <v>15052</v>
      </c>
      <c r="Q39" s="162" t="s">
        <v>102</v>
      </c>
    </row>
    <row r="40" spans="1:20" ht="15.75" hidden="1" thickBot="1" x14ac:dyDescent="0.3">
      <c r="A40" s="69" t="s">
        <v>19</v>
      </c>
      <c r="B40" s="37">
        <v>465</v>
      </c>
      <c r="C40" s="37">
        <v>473</v>
      </c>
      <c r="D40" s="37">
        <v>506</v>
      </c>
      <c r="E40" s="37">
        <v>469</v>
      </c>
      <c r="F40" s="37">
        <v>469</v>
      </c>
      <c r="G40" s="37">
        <v>455</v>
      </c>
      <c r="H40" s="37">
        <v>479</v>
      </c>
      <c r="I40" s="37">
        <v>461</v>
      </c>
      <c r="J40" s="37">
        <v>617</v>
      </c>
      <c r="K40" s="37">
        <v>588</v>
      </c>
      <c r="L40" s="37">
        <v>759</v>
      </c>
      <c r="M40" s="37">
        <v>691</v>
      </c>
      <c r="N40" s="56">
        <v>621</v>
      </c>
      <c r="O40" s="58">
        <f t="shared" si="12"/>
        <v>6588</v>
      </c>
      <c r="P40" s="90">
        <f>SUM(B40:M40)</f>
        <v>6432</v>
      </c>
      <c r="Q40" s="159"/>
    </row>
    <row r="41" spans="1:20" hidden="1" x14ac:dyDescent="0.25">
      <c r="A41" s="19" t="s">
        <v>3</v>
      </c>
      <c r="B41" s="51">
        <f t="shared" ref="B41:L41" si="13">SUM(B39:B40)</f>
        <v>1770</v>
      </c>
      <c r="C41" s="51">
        <f t="shared" si="13"/>
        <v>1898</v>
      </c>
      <c r="D41" s="51">
        <f t="shared" si="13"/>
        <v>1884</v>
      </c>
      <c r="E41" s="51">
        <f t="shared" si="13"/>
        <v>1732</v>
      </c>
      <c r="F41" s="51">
        <f t="shared" si="13"/>
        <v>1952</v>
      </c>
      <c r="G41" s="51">
        <f t="shared" si="13"/>
        <v>1967</v>
      </c>
      <c r="H41" s="51">
        <f t="shared" si="13"/>
        <v>1976</v>
      </c>
      <c r="I41" s="51">
        <f t="shared" si="13"/>
        <v>1969</v>
      </c>
      <c r="J41" s="51">
        <f t="shared" si="13"/>
        <v>1881</v>
      </c>
      <c r="K41" s="51">
        <f t="shared" si="13"/>
        <v>1400</v>
      </c>
      <c r="L41" s="51">
        <f t="shared" si="13"/>
        <v>1582</v>
      </c>
      <c r="M41" s="51">
        <f>SUM(M39:M40)</f>
        <v>1473</v>
      </c>
      <c r="N41" s="62">
        <f>SUM(N39:N40)</f>
        <v>1271</v>
      </c>
      <c r="O41" s="60">
        <f t="shared" si="12"/>
        <v>20985</v>
      </c>
      <c r="P41" s="90">
        <f>SUM(B41:M41)</f>
        <v>21484</v>
      </c>
      <c r="Q41" s="159"/>
    </row>
    <row r="42" spans="1:20" hidden="1" x14ac:dyDescent="0.25">
      <c r="Q42" s="159"/>
    </row>
    <row r="43" spans="1:20" hidden="1" x14ac:dyDescent="0.25">
      <c r="A43" s="12" t="s">
        <v>17</v>
      </c>
      <c r="B43" s="34">
        <v>1576.68</v>
      </c>
      <c r="C43" s="34">
        <v>1497.23</v>
      </c>
      <c r="D43" s="34">
        <v>1596.18</v>
      </c>
      <c r="E43" s="34">
        <v>1467.95</v>
      </c>
      <c r="F43" s="34">
        <v>1689.78</v>
      </c>
      <c r="G43" s="34">
        <v>1604.14</v>
      </c>
      <c r="H43" s="34">
        <v>1663.24</v>
      </c>
      <c r="I43" s="34">
        <v>1648.29</v>
      </c>
      <c r="J43" s="34">
        <v>1294.56</v>
      </c>
      <c r="K43" s="34">
        <v>980.92</v>
      </c>
      <c r="L43" s="34">
        <v>1100.67</v>
      </c>
      <c r="M43" s="34">
        <v>1030.57</v>
      </c>
      <c r="N43" s="94">
        <v>892.57</v>
      </c>
      <c r="O43" s="61">
        <f>SUM(C43:N43)</f>
        <v>16466.100000000002</v>
      </c>
      <c r="Q43" s="159"/>
    </row>
    <row r="44" spans="1:20" hidden="1" x14ac:dyDescent="0.25">
      <c r="A44" s="12" t="s">
        <v>18</v>
      </c>
      <c r="B44" s="37">
        <v>20935</v>
      </c>
      <c r="C44" s="37">
        <v>21071</v>
      </c>
      <c r="D44" s="37">
        <v>22655</v>
      </c>
      <c r="E44" s="37">
        <v>20213</v>
      </c>
      <c r="F44" s="37">
        <v>23596</v>
      </c>
      <c r="G44" s="37">
        <v>22724</v>
      </c>
      <c r="H44" s="37">
        <v>23993</v>
      </c>
      <c r="I44" s="37">
        <v>24629</v>
      </c>
      <c r="J44" s="37">
        <v>18638</v>
      </c>
      <c r="K44" s="37">
        <v>13348</v>
      </c>
      <c r="L44" s="37">
        <v>16118</v>
      </c>
      <c r="M44" s="37">
        <v>15613</v>
      </c>
      <c r="N44" s="56">
        <v>12822</v>
      </c>
      <c r="O44" s="58">
        <f>SUM(C44:N44)</f>
        <v>235420</v>
      </c>
      <c r="Q44" s="159"/>
    </row>
    <row r="45" spans="1:20" hidden="1" x14ac:dyDescent="0.25">
      <c r="Q45" s="159"/>
    </row>
    <row r="46" spans="1:20" hidden="1" x14ac:dyDescent="0.25">
      <c r="A46" s="130" t="s">
        <v>99</v>
      </c>
      <c r="Q46" s="159"/>
    </row>
    <row r="47" spans="1:20" ht="15.75" hidden="1" x14ac:dyDescent="0.25">
      <c r="A47" s="12" t="s">
        <v>103</v>
      </c>
      <c r="B47" s="33" t="s">
        <v>70</v>
      </c>
      <c r="C47" s="33" t="s">
        <v>81</v>
      </c>
      <c r="D47" s="33" t="s">
        <v>82</v>
      </c>
      <c r="E47" s="33" t="s">
        <v>104</v>
      </c>
      <c r="F47" s="33" t="s">
        <v>117</v>
      </c>
      <c r="G47" s="33" t="s">
        <v>124</v>
      </c>
      <c r="H47" s="33" t="s">
        <v>156</v>
      </c>
      <c r="I47" s="33" t="s">
        <v>161</v>
      </c>
      <c r="J47" s="33" t="s">
        <v>162</v>
      </c>
      <c r="K47" s="33" t="s">
        <v>166</v>
      </c>
      <c r="L47" s="33" t="s">
        <v>176</v>
      </c>
      <c r="M47" s="33" t="s">
        <v>182</v>
      </c>
      <c r="N47" s="55" t="s">
        <v>186</v>
      </c>
      <c r="O47" s="132" t="s">
        <v>95</v>
      </c>
      <c r="P47" t="s">
        <v>77</v>
      </c>
      <c r="Q47" s="159"/>
      <c r="R47" t="s">
        <v>72</v>
      </c>
      <c r="S47" s="188" t="s">
        <v>169</v>
      </c>
    </row>
    <row r="48" spans="1:20" hidden="1" x14ac:dyDescent="0.25">
      <c r="A48" s="12" t="s">
        <v>83</v>
      </c>
      <c r="B48" s="131">
        <f>SUM('Sunshine Park'!B40)</f>
        <v>50</v>
      </c>
      <c r="C48" s="131">
        <f>SUM('Sunshine Park'!C40)</f>
        <v>32</v>
      </c>
      <c r="D48" s="131">
        <f>SUM('Sunshine Park'!D40)</f>
        <v>29</v>
      </c>
      <c r="E48" s="131">
        <f>SUM('Sunshine Park'!E40)</f>
        <v>61</v>
      </c>
      <c r="F48" s="131">
        <f>SUM('Sunshine Park'!F40)</f>
        <v>59</v>
      </c>
      <c r="G48" s="131">
        <f>SUM('Sunshine Park'!G40)</f>
        <v>71</v>
      </c>
      <c r="H48" s="131">
        <f>SUM('Sunshine Park'!H40)</f>
        <v>55</v>
      </c>
      <c r="I48" s="131">
        <f>SUM('Sunshine Park'!I40)</f>
        <v>35</v>
      </c>
      <c r="J48" s="131">
        <f>SUM('Sunshine Park'!J40)</f>
        <v>35</v>
      </c>
      <c r="K48" s="131">
        <f>SUM('Sunshine Park'!K40)</f>
        <v>14</v>
      </c>
      <c r="L48" s="131">
        <f>SUM('Sunshine Park'!L40)</f>
        <v>11</v>
      </c>
      <c r="M48" s="131">
        <f>SUM('Sunshine Park'!M40)</f>
        <v>10</v>
      </c>
      <c r="N48" s="179">
        <f>SUM('Sunshine Park'!N40)</f>
        <v>31</v>
      </c>
      <c r="O48" s="135">
        <f>SUM(C48:N48)</f>
        <v>443</v>
      </c>
      <c r="P48" s="90">
        <f>SUM(O28-O40)</f>
        <v>443</v>
      </c>
      <c r="Q48" s="159"/>
      <c r="R48">
        <f>SUM(B48:N48)</f>
        <v>493</v>
      </c>
      <c r="S48" s="188">
        <f>SUM('Sunshine Park'!O40)</f>
        <v>493</v>
      </c>
    </row>
    <row r="49" spans="1:19" hidden="1" x14ac:dyDescent="0.25">
      <c r="A49" s="12" t="s">
        <v>91</v>
      </c>
      <c r="B49" s="131">
        <f>SUM('Sunshine Park'!B47)</f>
        <v>160</v>
      </c>
      <c r="C49" s="131">
        <f>SUM('Sunshine Park'!C47)</f>
        <v>176</v>
      </c>
      <c r="D49" s="131">
        <f>SUM('Sunshine Park'!D47)</f>
        <v>160</v>
      </c>
      <c r="E49" s="131">
        <f>SUM('Sunshine Park'!E47)</f>
        <v>160</v>
      </c>
      <c r="F49" s="131">
        <f>SUM('Sunshine Park'!F47)</f>
        <v>168</v>
      </c>
      <c r="G49" s="131">
        <f>SUM('Sunshine Park'!G47)</f>
        <v>168</v>
      </c>
      <c r="H49" s="131">
        <f>SUM('Sunshine Park'!H47)</f>
        <v>168</v>
      </c>
      <c r="I49" s="131">
        <f>SUM('Sunshine Park'!I47)</f>
        <v>176</v>
      </c>
      <c r="J49" s="131">
        <f>SUM('Sunshine Park'!J47)</f>
        <v>176</v>
      </c>
      <c r="K49" s="131">
        <f>SUM('Sunshine Park'!K47)</f>
        <v>160</v>
      </c>
      <c r="L49" s="131">
        <f>SUM('Sunshine Park'!L47)</f>
        <v>176</v>
      </c>
      <c r="M49" s="131">
        <f>SUM('Sunshine Park'!M47)</f>
        <v>176</v>
      </c>
      <c r="N49" s="179">
        <f>SUM('Sunshine Park'!N47)</f>
        <v>152</v>
      </c>
      <c r="O49" s="135">
        <f>SUM(C49:N49)</f>
        <v>2016</v>
      </c>
      <c r="P49" s="90">
        <f>SUM(O35-O44)</f>
        <v>2016</v>
      </c>
      <c r="Q49" s="159"/>
      <c r="R49">
        <f>SUM(B49:N49)</f>
        <v>2176</v>
      </c>
      <c r="S49" s="188">
        <f>SUM('Sunshine Park'!O47)</f>
        <v>2176</v>
      </c>
    </row>
    <row r="50" spans="1:19" hidden="1" x14ac:dyDescent="0.25">
      <c r="A50" s="12" t="s">
        <v>87</v>
      </c>
      <c r="B50" s="144">
        <f>SUM('Sunshine Park'!B54)</f>
        <v>6.18</v>
      </c>
      <c r="C50" s="144">
        <f>SUM('Sunshine Park'!C54)</f>
        <v>6.88</v>
      </c>
      <c r="D50" s="144">
        <f>SUM('Sunshine Park'!D54)</f>
        <v>5.7</v>
      </c>
      <c r="E50" s="144">
        <f>SUM('Sunshine Park'!E54)</f>
        <v>6.15</v>
      </c>
      <c r="F50" s="144">
        <f>SUM('Sunshine Park'!F54)</f>
        <v>6.4</v>
      </c>
      <c r="G50" s="144">
        <f>SUM('Sunshine Park'!G54)</f>
        <v>6.41</v>
      </c>
      <c r="H50" s="144">
        <f>SUM('Sunshine Park'!H54)</f>
        <v>6.63</v>
      </c>
      <c r="I50" s="144">
        <f>SUM('Sunshine Park'!I54)</f>
        <v>6.68</v>
      </c>
      <c r="J50" s="144">
        <f>SUM('Sunshine Park'!J54)</f>
        <v>6.64</v>
      </c>
      <c r="K50" s="144">
        <f>SUM('Sunshine Park'!K54)</f>
        <v>5.3</v>
      </c>
      <c r="L50" s="144">
        <f>SUM('Sunshine Park'!L54)</f>
        <v>6.92</v>
      </c>
      <c r="M50" s="144">
        <f>SUM('Sunshine Park'!M54)</f>
        <v>6.87</v>
      </c>
      <c r="N50" s="198">
        <f>SUM('Sunshine Park'!N54)</f>
        <v>5.59</v>
      </c>
      <c r="O50" s="146">
        <f>SUM(C50:N50)</f>
        <v>76.17</v>
      </c>
      <c r="P50" s="129">
        <f>SUM(O34-O43)</f>
        <v>76.169999999998254</v>
      </c>
      <c r="Q50" s="159"/>
      <c r="R50" s="92">
        <f>SUM(B50:N50)</f>
        <v>82.350000000000009</v>
      </c>
      <c r="S50" s="197">
        <f>SUM('Sunshine Park'!O54)</f>
        <v>82.350000000000009</v>
      </c>
    </row>
  </sheetData>
  <sheetProtection algorithmName="SHA-512" hashValue="2l+i+ly9fXkseSA+zvpkik5V7yztOgwwLtYio8kxLeS1LSdlRaBbmnFMv91/OSso79U1ZT1ccKm7ODeK0XS2NQ==" saltValue="6TPtn+U/cWdqii3ht5V/HQ==" spinCount="100000" sheet="1" objects="1" scenarios="1"/>
  <mergeCells count="6">
    <mergeCell ref="L25:N25"/>
    <mergeCell ref="I25:K25"/>
    <mergeCell ref="F25:H25"/>
    <mergeCell ref="C25:E25"/>
    <mergeCell ref="A1:P1"/>
    <mergeCell ref="A2:P2"/>
  </mergeCells>
  <pageMargins left="0.25" right="0.25" top="0.75" bottom="0.75" header="0.3" footer="0.3"/>
  <pageSetup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Ridership</vt:lpstr>
      <vt:lpstr>September</vt:lpstr>
      <vt:lpstr>Red-Green</vt:lpstr>
      <vt:lpstr>Expansion</vt:lpstr>
      <vt:lpstr>Expansion %</vt:lpstr>
      <vt:lpstr>Sutherlin</vt:lpstr>
      <vt:lpstr>Winston</vt:lpstr>
      <vt:lpstr>Yearly Comparison </vt:lpstr>
      <vt:lpstr>Umpqua Rides</vt:lpstr>
      <vt:lpstr>UR-September</vt:lpstr>
      <vt:lpstr>Sunshine Park</vt:lpstr>
      <vt:lpstr>Medical Transportation</vt:lpstr>
      <vt:lpstr>Notes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Cheas</dc:creator>
  <cp:lastModifiedBy>Sheryl Bleau</cp:lastModifiedBy>
  <cp:lastPrinted>2024-04-08T21:10:08Z</cp:lastPrinted>
  <dcterms:created xsi:type="dcterms:W3CDTF">2013-01-15T23:48:53Z</dcterms:created>
  <dcterms:modified xsi:type="dcterms:W3CDTF">2024-11-12T16:10:26Z</dcterms:modified>
</cp:coreProperties>
</file>